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Extension\Lori\Agent - Crops\"/>
    </mc:Choice>
  </mc:AlternateContent>
  <bookViews>
    <workbookView xWindow="0" yWindow="0" windowWidth="20490" windowHeight="7620" tabRatio="656" activeTab="2"/>
  </bookViews>
  <sheets>
    <sheet name="Instructions" sheetId="6" r:id="rId1"/>
    <sheet name="Corn" sheetId="1" r:id="rId2"/>
    <sheet name="Soybeans" sheetId="2" r:id="rId3"/>
    <sheet name="Wheat" sheetId="3" r:id="rId4"/>
    <sheet name="Direct Seeded Alfalfa" sheetId="4" r:id="rId5"/>
    <sheet name="Established Alfalfa" sheetId="5" r:id="rId6"/>
  </sheets>
  <calcPr calcId="162913"/>
</workbook>
</file>

<file path=xl/calcChain.xml><?xml version="1.0" encoding="utf-8"?>
<calcChain xmlns="http://schemas.openxmlformats.org/spreadsheetml/2006/main">
  <c r="D6" i="5" l="1"/>
  <c r="C31" i="1"/>
  <c r="I16" i="1"/>
  <c r="D16" i="1" s="1"/>
  <c r="E16" i="1" l="1"/>
  <c r="D7" i="4"/>
  <c r="D6" i="3"/>
  <c r="D6" i="2"/>
  <c r="H70" i="3"/>
  <c r="H71" i="3"/>
  <c r="H74" i="3"/>
  <c r="H72" i="3"/>
  <c r="H73" i="3" s="1"/>
  <c r="I75" i="3"/>
  <c r="J75" i="3"/>
  <c r="M75" i="3"/>
  <c r="K75" i="3"/>
  <c r="L75" i="3" s="1"/>
  <c r="E53" i="3"/>
  <c r="E55" i="3"/>
  <c r="E56" i="3"/>
  <c r="E58" i="3"/>
  <c r="E60" i="3"/>
  <c r="E61" i="3"/>
  <c r="E66" i="3"/>
  <c r="H16" i="3"/>
  <c r="D15" i="3" s="1"/>
  <c r="E15" i="3" s="1"/>
  <c r="H21" i="3"/>
  <c r="D17" i="3" s="1"/>
  <c r="E17" i="3" s="1"/>
  <c r="I21" i="3"/>
  <c r="D18" i="3" s="1"/>
  <c r="E18" i="3" s="1"/>
  <c r="H26" i="3"/>
  <c r="D20" i="3" s="1"/>
  <c r="E20" i="3" s="1"/>
  <c r="H32" i="3"/>
  <c r="D23" i="3" s="1"/>
  <c r="E23" i="3" s="1"/>
  <c r="I32" i="3"/>
  <c r="D24" i="3" s="1"/>
  <c r="E24" i="3" s="1"/>
  <c r="J32" i="3"/>
  <c r="D25" i="3" s="1"/>
  <c r="E25" i="3" s="1"/>
  <c r="K32" i="3"/>
  <c r="D26" i="3" s="1"/>
  <c r="E26" i="3" s="1"/>
  <c r="L32" i="3"/>
  <c r="D27" i="3" s="1"/>
  <c r="E27" i="3" s="1"/>
  <c r="E30" i="3"/>
  <c r="E34" i="3"/>
  <c r="E35" i="3"/>
  <c r="E36" i="3"/>
  <c r="E39" i="3"/>
  <c r="E40" i="3"/>
  <c r="E43" i="3"/>
  <c r="E44" i="3"/>
  <c r="E46" i="3"/>
  <c r="E47" i="3"/>
  <c r="E52" i="3"/>
  <c r="E54" i="3"/>
  <c r="E57" i="3"/>
  <c r="E59" i="3"/>
  <c r="E67" i="3"/>
  <c r="E68" i="3"/>
  <c r="E69" i="3"/>
  <c r="H70" i="2"/>
  <c r="E67" i="2"/>
  <c r="E68" i="2"/>
  <c r="H17" i="2"/>
  <c r="D16" i="2" s="1"/>
  <c r="E16" i="2" s="1"/>
  <c r="I22" i="2"/>
  <c r="D19" i="2" s="1"/>
  <c r="E19" i="2" s="1"/>
  <c r="H22" i="2"/>
  <c r="D18" i="2" s="1"/>
  <c r="E18" i="2" s="1"/>
  <c r="H27" i="2"/>
  <c r="D21" i="2" s="1"/>
  <c r="E21" i="2" s="1"/>
  <c r="E46" i="2"/>
  <c r="E47" i="2"/>
  <c r="E58" i="2"/>
  <c r="E54" i="2"/>
  <c r="E55" i="2"/>
  <c r="E56" i="2"/>
  <c r="E59" i="2"/>
  <c r="E60" i="2"/>
  <c r="E61" i="2"/>
  <c r="E53" i="2"/>
  <c r="E70" i="2"/>
  <c r="E66" i="2"/>
  <c r="M75" i="2"/>
  <c r="H71" i="2"/>
  <c r="H72" i="2"/>
  <c r="H73" i="2"/>
  <c r="H74" i="2"/>
  <c r="L75" i="2"/>
  <c r="K75" i="2"/>
  <c r="I75" i="2"/>
  <c r="J75" i="2"/>
  <c r="H70" i="1"/>
  <c r="E69" i="1"/>
  <c r="E70" i="1"/>
  <c r="I31" i="1"/>
  <c r="D27" i="1" s="1"/>
  <c r="E27" i="1" s="1"/>
  <c r="K31" i="1"/>
  <c r="D29" i="1" s="1"/>
  <c r="E29" i="1" s="1"/>
  <c r="J21" i="1"/>
  <c r="D20" i="1" s="1"/>
  <c r="E20" i="1" s="1"/>
  <c r="H26" i="1"/>
  <c r="D23" i="1" s="1"/>
  <c r="E23" i="1" s="1"/>
  <c r="J31" i="1"/>
  <c r="D28" i="1" s="1"/>
  <c r="E28" i="1" s="1"/>
  <c r="L31" i="1"/>
  <c r="D30" i="1" s="1"/>
  <c r="E30" i="1" s="1"/>
  <c r="E36" i="1"/>
  <c r="H16" i="1"/>
  <c r="D15" i="1" s="1"/>
  <c r="E15" i="1" s="1"/>
  <c r="H31" i="1"/>
  <c r="D26" i="1" s="1"/>
  <c r="E26" i="1" s="1"/>
  <c r="E60" i="1"/>
  <c r="E58" i="1"/>
  <c r="E62" i="1"/>
  <c r="E63" i="1"/>
  <c r="E64" i="1"/>
  <c r="E65" i="1"/>
  <c r="E57" i="1"/>
  <c r="E59" i="1"/>
  <c r="E72" i="1"/>
  <c r="E68" i="1"/>
  <c r="M75" i="1"/>
  <c r="H71" i="1"/>
  <c r="H72" i="1"/>
  <c r="H73" i="1"/>
  <c r="H74" i="1"/>
  <c r="L75" i="1"/>
  <c r="K75" i="1"/>
  <c r="J75" i="1"/>
  <c r="I75" i="1"/>
  <c r="E33" i="1"/>
  <c r="E40" i="1"/>
  <c r="E41" i="1"/>
  <c r="E42" i="1"/>
  <c r="E45" i="1"/>
  <c r="E46" i="1"/>
  <c r="E48" i="1"/>
  <c r="E49" i="1"/>
  <c r="E51" i="1"/>
  <c r="E52" i="1"/>
  <c r="E56" i="1"/>
  <c r="E61" i="1"/>
  <c r="E71" i="1"/>
  <c r="E66" i="5"/>
  <c r="C6" i="5"/>
  <c r="C7" i="4"/>
  <c r="C6" i="3"/>
  <c r="C6" i="2"/>
  <c r="E65" i="5"/>
  <c r="E67" i="5"/>
  <c r="E68" i="5"/>
  <c r="I18" i="5"/>
  <c r="D16" i="5" s="1"/>
  <c r="E16" i="5" s="1"/>
  <c r="H23" i="5"/>
  <c r="D19" i="5" s="1"/>
  <c r="E19" i="5" s="1"/>
  <c r="H18" i="5"/>
  <c r="D15" i="5" s="1"/>
  <c r="E15" i="5" s="1"/>
  <c r="J18" i="5"/>
  <c r="D17" i="5" s="1"/>
  <c r="E17" i="5" s="1"/>
  <c r="E23" i="5"/>
  <c r="E24" i="5"/>
  <c r="E61" i="4"/>
  <c r="E62" i="4"/>
  <c r="E63" i="4"/>
  <c r="E65" i="4"/>
  <c r="E64" i="4"/>
  <c r="E31" i="4"/>
  <c r="E32" i="4"/>
  <c r="E25" i="4"/>
  <c r="E42" i="4"/>
  <c r="E43" i="4"/>
  <c r="H19" i="4"/>
  <c r="D16" i="4" s="1"/>
  <c r="E16" i="4" s="1"/>
  <c r="I19" i="4"/>
  <c r="D17" i="4" s="1"/>
  <c r="E17" i="4" s="1"/>
  <c r="J19" i="4"/>
  <c r="D18" i="4" s="1"/>
  <c r="E18" i="4" s="1"/>
  <c r="H24" i="4"/>
  <c r="D20" i="4" s="1"/>
  <c r="E20" i="4" s="1"/>
  <c r="E45" i="5"/>
  <c r="E44" i="5"/>
  <c r="E23" i="2"/>
  <c r="E58" i="5"/>
  <c r="E59" i="4"/>
  <c r="E60" i="4"/>
  <c r="E52" i="4"/>
  <c r="E47" i="4"/>
  <c r="E48" i="4"/>
  <c r="E49" i="4"/>
  <c r="E50" i="4"/>
  <c r="E51" i="4"/>
  <c r="E53" i="4"/>
  <c r="E54" i="4"/>
  <c r="E55" i="4"/>
  <c r="E22" i="4"/>
  <c r="E29" i="4"/>
  <c r="E30" i="4"/>
  <c r="E35" i="4"/>
  <c r="E36" i="4"/>
  <c r="E39" i="4"/>
  <c r="E40" i="4"/>
  <c r="E68" i="4"/>
  <c r="E62" i="5"/>
  <c r="E63" i="5"/>
  <c r="E64" i="5"/>
  <c r="E21" i="5"/>
  <c r="E41" i="5"/>
  <c r="E42" i="5"/>
  <c r="E33" i="5"/>
  <c r="E34" i="5"/>
  <c r="E27" i="5"/>
  <c r="E31" i="5"/>
  <c r="E32" i="5"/>
  <c r="E37" i="5"/>
  <c r="E38" i="5"/>
  <c r="E50" i="5"/>
  <c r="E51" i="5"/>
  <c r="E52" i="5"/>
  <c r="E53" i="5"/>
  <c r="E54" i="5"/>
  <c r="E55" i="5"/>
  <c r="E56" i="5"/>
  <c r="E57" i="5"/>
  <c r="E71" i="5"/>
  <c r="E76" i="5"/>
  <c r="E73" i="4"/>
  <c r="E36" i="2"/>
  <c r="E26" i="2"/>
  <c r="E32" i="2"/>
  <c r="E30" i="2"/>
  <c r="E31" i="2"/>
  <c r="E35" i="2"/>
  <c r="E39" i="2"/>
  <c r="E40" i="2"/>
  <c r="E43" i="2"/>
  <c r="E44" i="2"/>
  <c r="E52" i="2"/>
  <c r="E57" i="2"/>
  <c r="E77" i="1"/>
  <c r="E76" i="2"/>
  <c r="E69" i="2"/>
  <c r="E75" i="3"/>
  <c r="E76" i="3"/>
  <c r="E69" i="5" l="1"/>
  <c r="E78" i="3"/>
  <c r="E63" i="2"/>
  <c r="E47" i="5"/>
  <c r="E44" i="4"/>
  <c r="E49" i="3"/>
  <c r="D31" i="1"/>
  <c r="E59" i="5"/>
  <c r="E66" i="4"/>
  <c r="E56" i="4"/>
  <c r="E63" i="3"/>
  <c r="E66" i="1"/>
  <c r="E49" i="2"/>
  <c r="E71" i="2" l="1"/>
  <c r="E73" i="2" s="1"/>
  <c r="L70" i="2" s="1"/>
  <c r="E72" i="5"/>
  <c r="E74" i="5" s="1"/>
  <c r="E79" i="5" s="1"/>
  <c r="E69" i="4"/>
  <c r="E71" i="4" s="1"/>
  <c r="E76" i="4" s="1"/>
  <c r="E70" i="3"/>
  <c r="E72" i="3" s="1"/>
  <c r="K71" i="3" s="1"/>
  <c r="I21" i="1"/>
  <c r="D19" i="1" s="1"/>
  <c r="E19" i="1" s="1"/>
  <c r="E31" i="1"/>
  <c r="H21" i="1"/>
  <c r="D18" i="1" s="1"/>
  <c r="E18" i="1" s="1"/>
  <c r="K21" i="1"/>
  <c r="D21" i="1" s="1"/>
  <c r="E21" i="1" s="1"/>
  <c r="L71" i="2" l="1"/>
  <c r="M70" i="2"/>
  <c r="L74" i="2"/>
  <c r="K70" i="2"/>
  <c r="J71" i="2"/>
  <c r="L73" i="2"/>
  <c r="I73" i="2"/>
  <c r="K71" i="2"/>
  <c r="J72" i="2"/>
  <c r="J73" i="2"/>
  <c r="M71" i="2"/>
  <c r="L72" i="2"/>
  <c r="K74" i="2"/>
  <c r="K73" i="2"/>
  <c r="M74" i="2"/>
  <c r="I71" i="2"/>
  <c r="M72" i="2"/>
  <c r="J74" i="2"/>
  <c r="E78" i="2"/>
  <c r="I70" i="2"/>
  <c r="I74" i="2"/>
  <c r="K72" i="2"/>
  <c r="I72" i="2"/>
  <c r="M73" i="2"/>
  <c r="J70" i="2"/>
  <c r="E53" i="1"/>
  <c r="E73" i="1" s="1"/>
  <c r="E75" i="1" s="1"/>
  <c r="K74" i="1" s="1"/>
  <c r="M72" i="3"/>
  <c r="I72" i="3"/>
  <c r="J73" i="3"/>
  <c r="M71" i="3"/>
  <c r="J72" i="3"/>
  <c r="L74" i="3"/>
  <c r="K74" i="3"/>
  <c r="J70" i="3"/>
  <c r="M73" i="3"/>
  <c r="J71" i="3"/>
  <c r="M74" i="3"/>
  <c r="L70" i="3"/>
  <c r="E80" i="3"/>
  <c r="L73" i="3"/>
  <c r="I71" i="3"/>
  <c r="L72" i="3"/>
  <c r="J74" i="3"/>
  <c r="K73" i="3"/>
  <c r="K72" i="3"/>
  <c r="L71" i="3"/>
  <c r="I70" i="3"/>
  <c r="I73" i="3"/>
  <c r="K70" i="3"/>
  <c r="M70" i="3"/>
  <c r="I74" i="3"/>
  <c r="J71" i="1" l="1"/>
  <c r="J73" i="1"/>
  <c r="M74" i="1"/>
  <c r="L72" i="1"/>
  <c r="I71" i="1"/>
  <c r="L74" i="1"/>
  <c r="M72" i="1"/>
  <c r="K71" i="1"/>
  <c r="L73" i="1"/>
  <c r="J74" i="1"/>
  <c r="M73" i="1"/>
  <c r="K70" i="1"/>
  <c r="I72" i="1"/>
  <c r="L71" i="1"/>
  <c r="K73" i="1"/>
  <c r="E80" i="1"/>
  <c r="I73" i="1"/>
  <c r="M70" i="1"/>
  <c r="L70" i="1"/>
  <c r="M71" i="1"/>
  <c r="I70" i="1"/>
  <c r="J70" i="1"/>
  <c r="K72" i="1"/>
  <c r="J72" i="1"/>
  <c r="I74" i="1"/>
</calcChain>
</file>

<file path=xl/comments1.xml><?xml version="1.0" encoding="utf-8"?>
<comments xmlns="http://schemas.openxmlformats.org/spreadsheetml/2006/main">
  <authors>
    <author>UW Extension</author>
    <author>cheiman</author>
  </authors>
  <commentList>
    <comment ref="C15" authorId="0" shapeId="0">
      <text>
        <r>
          <rPr>
            <b/>
            <sz val="8"/>
            <color indexed="81"/>
            <rFont val="Tahoma"/>
            <family val="2"/>
          </rPr>
          <t>Enter lbs of each fertilizer applied</t>
        </r>
        <r>
          <rPr>
            <sz val="8"/>
            <color indexed="81"/>
            <rFont val="Tahoma"/>
            <family val="2"/>
          </rPr>
          <t xml:space="preserve">
</t>
        </r>
      </text>
    </comment>
    <comment ref="H15" authorId="0" shapeId="0">
      <text>
        <r>
          <rPr>
            <b/>
            <sz val="8"/>
            <color indexed="81"/>
            <rFont val="Tahoma"/>
            <family val="2"/>
          </rPr>
          <t>Enter price / ton for each fertilzer used</t>
        </r>
        <r>
          <rPr>
            <sz val="8"/>
            <color indexed="81"/>
            <rFont val="Tahoma"/>
            <family val="2"/>
          </rPr>
          <t xml:space="preserve">
</t>
        </r>
      </text>
    </comment>
    <comment ref="A18" authorId="0" shapeId="0">
      <text>
        <r>
          <rPr>
            <b/>
            <sz val="8"/>
            <color indexed="81"/>
            <rFont val="Tahoma"/>
            <family val="2"/>
          </rPr>
          <t xml:space="preserve">
N applied as MAP is automatically added to bottom of Nitrogen fertilzer
</t>
        </r>
        <r>
          <rPr>
            <sz val="8"/>
            <color indexed="81"/>
            <rFont val="Tahoma"/>
            <family val="2"/>
          </rPr>
          <t xml:space="preserve">
</t>
        </r>
      </text>
    </comment>
    <comment ref="C18" authorId="0" shapeId="0">
      <text>
        <r>
          <rPr>
            <b/>
            <sz val="8"/>
            <color indexed="81"/>
            <rFont val="Tahoma"/>
            <family val="2"/>
          </rPr>
          <t>UW Extension:</t>
        </r>
        <r>
          <rPr>
            <sz val="8"/>
            <color indexed="81"/>
            <rFont val="Tahoma"/>
            <family val="2"/>
          </rPr>
          <t xml:space="preserve">
Enter units of each nutrient applied
</t>
        </r>
      </text>
    </comment>
    <comment ref="A19" authorId="0" shapeId="0">
      <text>
        <r>
          <rPr>
            <b/>
            <sz val="8"/>
            <color indexed="81"/>
            <rFont val="Tahoma"/>
            <family val="2"/>
          </rPr>
          <t>UW Extension:
N applied as DAP is automatically added at the bottom of Nitrogen fertilzier section</t>
        </r>
      </text>
    </comment>
    <comment ref="C31" authorId="0" shapeId="0">
      <text>
        <r>
          <rPr>
            <b/>
            <sz val="8"/>
            <color indexed="81"/>
            <rFont val="Tahoma"/>
            <family val="2"/>
          </rPr>
          <t xml:space="preserve">
Pounds of N applied as MAP, DAP, 10-34-0 and /or 12-40-0 10S 1Zn
</t>
        </r>
      </text>
    </comment>
    <comment ref="C33" authorId="0" shapeId="0">
      <text>
        <r>
          <rPr>
            <b/>
            <sz val="8"/>
            <color indexed="81"/>
            <rFont val="Tahoma"/>
            <family val="2"/>
          </rPr>
          <t>Enter tons applied per acre</t>
        </r>
      </text>
    </comment>
    <comment ref="D33" authorId="0" shapeId="0">
      <text>
        <r>
          <rPr>
            <sz val="8"/>
            <color indexed="81"/>
            <rFont val="Tahoma"/>
            <family val="2"/>
          </rPr>
          <t xml:space="preserve">
Enter price per ton</t>
        </r>
      </text>
    </comment>
    <comment ref="C37" authorId="0" shapeId="0">
      <text>
        <r>
          <rPr>
            <b/>
            <sz val="8"/>
            <color indexed="81"/>
            <rFont val="Tahoma"/>
            <family val="2"/>
          </rPr>
          <t>Enter planted population</t>
        </r>
      </text>
    </comment>
    <comment ref="C40" authorId="0" shapeId="0">
      <text>
        <r>
          <rPr>
            <b/>
            <sz val="8"/>
            <color indexed="81"/>
            <rFont val="Tahoma"/>
            <family val="2"/>
          </rPr>
          <t xml:space="preserve">Enter number of times each tillage or service is used </t>
        </r>
        <r>
          <rPr>
            <sz val="8"/>
            <color indexed="81"/>
            <rFont val="Tahoma"/>
            <family val="2"/>
          </rPr>
          <t xml:space="preserve">
</t>
        </r>
      </text>
    </comment>
    <comment ref="D40" authorId="1" shapeId="0">
      <text>
        <r>
          <rPr>
            <b/>
            <sz val="8"/>
            <color indexed="81"/>
            <rFont val="Tahoma"/>
            <family val="2"/>
          </rPr>
          <t xml:space="preserve">based on 1 test every 4 year. </t>
        </r>
      </text>
    </comment>
    <comment ref="C51" authorId="0" shapeId="0">
      <text>
        <r>
          <rPr>
            <sz val="8"/>
            <color indexed="81"/>
            <rFont val="Tahoma"/>
            <family val="2"/>
          </rPr>
          <t xml:space="preserve">
Enter 1 if you have irrigation
Enter 0 if you do not have irrigation
</t>
        </r>
      </text>
    </comment>
    <comment ref="D51" authorId="0" shapeId="0">
      <text>
        <r>
          <rPr>
            <sz val="8"/>
            <color indexed="81"/>
            <rFont val="Tahoma"/>
            <family val="2"/>
          </rPr>
          <t xml:space="preserve">
Fixed ownership cost per acre
</t>
        </r>
      </text>
    </comment>
    <comment ref="C52" authorId="0" shapeId="0">
      <text>
        <r>
          <rPr>
            <sz val="8"/>
            <color indexed="81"/>
            <rFont val="Tahoma"/>
            <family val="2"/>
          </rPr>
          <t xml:space="preserve">
Enter inches of water applied by irrigation
</t>
        </r>
      </text>
    </comment>
    <comment ref="D52"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6" authorId="0" shapeId="0">
      <text>
        <r>
          <rPr>
            <b/>
            <sz val="8"/>
            <color indexed="81"/>
            <rFont val="Tahoma"/>
            <family val="2"/>
          </rPr>
          <t xml:space="preserve">Enter the number of times each tillage method is used
</t>
        </r>
      </text>
    </comment>
    <comment ref="C69" authorId="1" shapeId="0">
      <text>
        <r>
          <rPr>
            <b/>
            <sz val="8"/>
            <color indexed="81"/>
            <rFont val="Tahoma"/>
            <family val="2"/>
          </rPr>
          <t>number of points drying 
Example: 20% wet corn  - 15% dry corn = 5 points</t>
        </r>
      </text>
    </comment>
    <comment ref="D69" authorId="1" shapeId="0">
      <text>
        <r>
          <rPr>
            <b/>
            <sz val="8"/>
            <color indexed="81"/>
            <rFont val="Tahoma"/>
            <family val="2"/>
          </rPr>
          <t>cost per bushel to reduce moisture 1 %</t>
        </r>
      </text>
    </comment>
    <comment ref="E69" authorId="1" shapeId="0">
      <text>
        <r>
          <rPr>
            <sz val="8"/>
            <color indexed="81"/>
            <rFont val="Tahoma"/>
            <family val="2"/>
          </rPr>
          <t xml:space="preserve">
=number of points x cost per point x yield
</t>
        </r>
      </text>
    </comment>
    <comment ref="C70" authorId="0" shape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0" authorId="1" shapeId="0">
      <text>
        <r>
          <rPr>
            <b/>
            <sz val="8"/>
            <color indexed="81"/>
            <rFont val="Tahoma"/>
            <family val="2"/>
          </rPr>
          <t xml:space="preserve">
cost per bushel to truck 
Example 12 cents per bushel
</t>
        </r>
      </text>
    </comment>
    <comment ref="E70" authorId="1" shapeId="0">
      <text>
        <r>
          <rPr>
            <b/>
            <sz val="8"/>
            <color indexed="81"/>
            <rFont val="Tahoma"/>
            <family val="2"/>
          </rPr>
          <t xml:space="preserve">
=cost per bushel x yield </t>
        </r>
      </text>
    </comment>
    <comment ref="D72" authorId="0" shapeId="0">
      <text>
        <r>
          <rPr>
            <b/>
            <sz val="8"/>
            <color indexed="81"/>
            <rFont val="Tahoma"/>
            <family val="2"/>
          </rPr>
          <t>To calculate cost including land rent 
enter rent per acre here.
Leave blank to calculate costs without land rent.</t>
        </r>
      </text>
    </comment>
    <comment ref="C78" authorId="1" shapeId="0">
      <text>
        <r>
          <rPr>
            <b/>
            <sz val="8"/>
            <color indexed="81"/>
            <rFont val="Tahoma"/>
            <family val="2"/>
          </rPr>
          <t xml:space="preserve">
 Yield per acre</t>
        </r>
      </text>
    </comment>
    <comment ref="D78" authorId="1" shapeId="0">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shapeId="0">
      <text>
        <r>
          <rPr>
            <b/>
            <sz val="8"/>
            <color indexed="81"/>
            <rFont val="Tahoma"/>
            <family val="2"/>
          </rPr>
          <t>Enter tons applied per acre</t>
        </r>
      </text>
    </comment>
    <comment ref="D23" authorId="0" shapeId="0">
      <text>
        <r>
          <rPr>
            <sz val="8"/>
            <color indexed="81"/>
            <rFont val="Tahoma"/>
            <family val="2"/>
          </rPr>
          <t xml:space="preserve">
Enter price per ton</t>
        </r>
      </text>
    </comment>
    <comment ref="C27" authorId="0" shapeId="0">
      <text>
        <r>
          <rPr>
            <b/>
            <sz val="8"/>
            <color indexed="81"/>
            <rFont val="Tahoma"/>
            <family val="2"/>
          </rPr>
          <t>Enter bags of seed used per acre</t>
        </r>
      </text>
    </comment>
    <comment ref="C30" authorId="0" shapeId="0">
      <text>
        <r>
          <rPr>
            <b/>
            <sz val="8"/>
            <color indexed="81"/>
            <rFont val="Tahoma"/>
            <family val="2"/>
          </rPr>
          <t xml:space="preserve">Enter number of times each tillage or service is used 
</t>
        </r>
        <r>
          <rPr>
            <sz val="8"/>
            <color indexed="81"/>
            <rFont val="Tahoma"/>
            <family val="2"/>
          </rPr>
          <t xml:space="preserve">
</t>
        </r>
      </text>
    </comment>
    <comment ref="D30" authorId="1" shapeId="0">
      <text>
        <r>
          <rPr>
            <b/>
            <sz val="8"/>
            <color indexed="81"/>
            <rFont val="Tahoma"/>
            <family val="2"/>
          </rPr>
          <t xml:space="preserve">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1" shapeId="0">
      <text>
        <r>
          <rPr>
            <b/>
            <sz val="8"/>
            <color indexed="81"/>
            <rFont val="Tahoma"/>
            <family val="2"/>
          </rPr>
          <t xml:space="preserve">
number of points drying 
Example: 20% wet corn  - 15% dry corn = 5 points
</t>
        </r>
      </text>
    </comment>
    <comment ref="D67" authorId="1" shapeId="0">
      <text>
        <r>
          <rPr>
            <b/>
            <sz val="8"/>
            <color indexed="81"/>
            <rFont val="Tahoma"/>
            <family val="2"/>
          </rPr>
          <t>cost per bushel to dry in cents</t>
        </r>
      </text>
    </comment>
    <comment ref="E67" authorId="1" shapeId="0">
      <text>
        <r>
          <rPr>
            <sz val="8"/>
            <color indexed="81"/>
            <rFont val="Tahoma"/>
            <family val="2"/>
          </rPr>
          <t xml:space="preserve">=number of points x cost per point x yield
</t>
        </r>
      </text>
    </comment>
    <comment ref="C68"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shapeId="0">
      <text>
        <r>
          <rPr>
            <b/>
            <sz val="8"/>
            <color indexed="81"/>
            <rFont val="Tahoma"/>
            <family val="2"/>
          </rPr>
          <t>cost per bushel to truck 
Example 12 cents per bushel</t>
        </r>
      </text>
    </comment>
    <comment ref="E68" authorId="1" shapeId="0">
      <text>
        <r>
          <rPr>
            <b/>
            <sz val="8"/>
            <color indexed="81"/>
            <rFont val="Tahoma"/>
            <family val="2"/>
          </rPr>
          <t xml:space="preserve">=cost per bushel x yield </t>
        </r>
      </text>
    </comment>
    <comment ref="D70" authorId="0" shapeId="0">
      <text>
        <r>
          <rPr>
            <b/>
            <sz val="8"/>
            <color indexed="81"/>
            <rFont val="Tahoma"/>
            <family val="2"/>
          </rPr>
          <t>To calculate cost including land rent 
enter rent per acre here.
Leave blank to calculate costs without land rent.</t>
        </r>
      </text>
    </comment>
    <comment ref="C76" authorId="1" shapeId="0">
      <text>
        <r>
          <rPr>
            <b/>
            <sz val="8"/>
            <color indexed="81"/>
            <rFont val="Tahoma"/>
            <family val="2"/>
          </rPr>
          <t>yield per acre</t>
        </r>
      </text>
    </comment>
    <comment ref="D76" authorId="1" shapeId="0">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shapeId="0">
      <text>
        <r>
          <rPr>
            <b/>
            <sz val="8"/>
            <color indexed="81"/>
            <rFont val="Tahoma"/>
            <family val="2"/>
          </rPr>
          <t xml:space="preserve">
Enter lbs of starter used</t>
        </r>
        <r>
          <rPr>
            <sz val="8"/>
            <color indexed="81"/>
            <rFont val="Tahoma"/>
            <family val="2"/>
          </rPr>
          <t xml:space="preserve">
</t>
        </r>
      </text>
    </comment>
    <comment ref="C17" authorId="0" shapeId="0">
      <text>
        <r>
          <rPr>
            <b/>
            <sz val="8"/>
            <color indexed="81"/>
            <rFont val="Tahoma"/>
            <family val="2"/>
          </rPr>
          <t xml:space="preserve">
Enter lbs of each nutrient applied per acre</t>
        </r>
        <r>
          <rPr>
            <sz val="8"/>
            <color indexed="81"/>
            <rFont val="Tahoma"/>
            <family val="2"/>
          </rPr>
          <t xml:space="preserve">
</t>
        </r>
      </text>
    </comment>
    <comment ref="C31" authorId="0" shapeId="0">
      <text>
        <r>
          <rPr>
            <b/>
            <sz val="8"/>
            <color indexed="81"/>
            <rFont val="Tahoma"/>
            <family val="2"/>
          </rPr>
          <t>Enter bags of seed used per acre</t>
        </r>
      </text>
    </comment>
    <comment ref="D34" authorId="1" shapeId="0">
      <text>
        <r>
          <rPr>
            <b/>
            <sz val="8"/>
            <color indexed="81"/>
            <rFont val="Tahoma"/>
            <family val="2"/>
          </rPr>
          <t xml:space="preserve">
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shapeId="0">
      <text>
        <r>
          <rPr>
            <b/>
            <sz val="8"/>
            <color indexed="81"/>
            <rFont val="Tahoma"/>
            <family val="2"/>
          </rPr>
          <t>cost per bushel to truck 
Example 12 cents per bushel</t>
        </r>
      </text>
    </comment>
    <comment ref="E67" authorId="1" shapeId="0">
      <text>
        <r>
          <rPr>
            <b/>
            <sz val="8"/>
            <color indexed="81"/>
            <rFont val="Tahoma"/>
            <family val="2"/>
          </rPr>
          <t xml:space="preserve">
=cost per bushel x yield </t>
        </r>
      </text>
    </comment>
    <comment ref="D69" authorId="0" shapeId="0">
      <text>
        <r>
          <rPr>
            <b/>
            <sz val="8"/>
            <color indexed="81"/>
            <rFont val="Tahoma"/>
            <family val="2"/>
          </rPr>
          <t>To calculate cost including land rent 
enter rent per acre here.
Leave blank to calculate costs without land rent.</t>
        </r>
      </text>
    </comment>
    <comment ref="C75" authorId="1" shapeId="0">
      <text>
        <r>
          <rPr>
            <b/>
            <sz val="8"/>
            <color indexed="81"/>
            <rFont val="Tahoma"/>
            <family val="2"/>
          </rPr>
          <t xml:space="preserve">
Yield per acre</t>
        </r>
      </text>
    </comment>
    <comment ref="D75" authorId="1" shapeId="0">
      <text>
        <r>
          <rPr>
            <b/>
            <sz val="8"/>
            <color indexed="81"/>
            <rFont val="Tahoma"/>
            <family val="2"/>
          </rPr>
          <t xml:space="preserve">
Selling price per bushel</t>
        </r>
        <r>
          <rPr>
            <sz val="8"/>
            <color indexed="81"/>
            <rFont val="Tahoma"/>
            <family val="2"/>
          </rPr>
          <t xml:space="preserve">
</t>
        </r>
      </text>
    </comment>
    <comment ref="C76" authorId="0" shapeId="0">
      <text>
        <r>
          <rPr>
            <b/>
            <sz val="8"/>
            <color indexed="81"/>
            <rFont val="Tahoma"/>
            <family val="2"/>
          </rPr>
          <t xml:space="preserve">
Tons straw per acre
</t>
        </r>
      </text>
    </comment>
    <comment ref="D76" authorId="0" shape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shapeId="0">
      <text>
        <r>
          <rPr>
            <b/>
            <sz val="8"/>
            <color indexed="81"/>
            <rFont val="Tahoma"/>
            <family val="2"/>
          </rPr>
          <t>Enter tons applied per acre</t>
        </r>
      </text>
    </comment>
    <comment ref="D22" authorId="0" shapeId="0">
      <text>
        <r>
          <rPr>
            <sz val="8"/>
            <color indexed="81"/>
            <rFont val="Tahoma"/>
            <family val="2"/>
          </rPr>
          <t xml:space="preserve">
Enter price per ton</t>
        </r>
      </text>
    </comment>
    <comment ref="C25" authorId="0" shapeId="0">
      <text>
        <r>
          <rPr>
            <b/>
            <sz val="8"/>
            <color indexed="81"/>
            <rFont val="Tahoma"/>
            <family val="2"/>
          </rPr>
          <t xml:space="preserve">
Enter seed cost per pound</t>
        </r>
        <r>
          <rPr>
            <sz val="8"/>
            <color indexed="81"/>
            <rFont val="Tahoma"/>
            <family val="2"/>
          </rPr>
          <t xml:space="preserve">
</t>
        </r>
      </text>
    </comment>
    <comment ref="C26" authorId="0" shapeId="0">
      <text>
        <r>
          <rPr>
            <b/>
            <sz val="8"/>
            <color indexed="81"/>
            <rFont val="Tahoma"/>
            <family val="2"/>
          </rPr>
          <t>Enter planted population</t>
        </r>
      </text>
    </comment>
    <comment ref="C29" authorId="0" shapeId="0">
      <text>
        <r>
          <rPr>
            <b/>
            <sz val="8"/>
            <color indexed="81"/>
            <rFont val="Tahoma"/>
            <family val="2"/>
          </rPr>
          <t xml:space="preserve">Enter number of times each tillage or service is used </t>
        </r>
        <r>
          <rPr>
            <sz val="8"/>
            <color indexed="81"/>
            <rFont val="Tahoma"/>
            <family val="2"/>
          </rPr>
          <t xml:space="preserve">
</t>
        </r>
      </text>
    </comment>
    <comment ref="D29" authorId="1" shapeId="0">
      <text>
        <r>
          <rPr>
            <b/>
            <sz val="8"/>
            <color indexed="81"/>
            <rFont val="Tahoma"/>
            <family val="2"/>
          </rPr>
          <t xml:space="preserve">based on 1 test every 4 year. </t>
        </r>
      </text>
    </comment>
    <comment ref="C42" authorId="0" shapeId="0">
      <text>
        <r>
          <rPr>
            <sz val="8"/>
            <color indexed="81"/>
            <rFont val="Tahoma"/>
            <family val="2"/>
          </rPr>
          <t xml:space="preserve">
Enter 1 if you have irrigation
Enter 0 if you do not have irrigation
</t>
        </r>
      </text>
    </comment>
    <comment ref="D42" authorId="0" shapeId="0">
      <text>
        <r>
          <rPr>
            <sz val="8"/>
            <color indexed="81"/>
            <rFont val="Tahoma"/>
            <family val="2"/>
          </rPr>
          <t xml:space="preserve">
Fixed ownership cost per acre
</t>
        </r>
      </text>
    </comment>
    <comment ref="C43" authorId="0" shapeId="0">
      <text>
        <r>
          <rPr>
            <sz val="8"/>
            <color indexed="81"/>
            <rFont val="Tahoma"/>
            <family val="2"/>
          </rPr>
          <t xml:space="preserve">
Enter inches of water applied by irrigation
</t>
        </r>
      </text>
    </comment>
    <comment ref="D43"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shapeId="0">
      <text>
        <r>
          <rPr>
            <b/>
            <sz val="8"/>
            <color indexed="81"/>
            <rFont val="Tahoma"/>
            <family val="2"/>
          </rPr>
          <t xml:space="preserve">Enter the number of times each tillage method is used
</t>
        </r>
      </text>
    </comment>
    <comment ref="C59"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2"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shapeId="0">
      <text>
        <r>
          <rPr>
            <b/>
            <sz val="8"/>
            <color indexed="81"/>
            <rFont val="Tahoma"/>
            <family val="2"/>
          </rPr>
          <t xml:space="preserve">
Cost/bale</t>
        </r>
        <r>
          <rPr>
            <sz val="8"/>
            <color indexed="81"/>
            <rFont val="Tahoma"/>
            <family val="2"/>
          </rPr>
          <t xml:space="preserve">
</t>
        </r>
      </text>
    </comment>
    <comment ref="D63" authorId="0" shapeId="0">
      <text>
        <r>
          <rPr>
            <b/>
            <sz val="8"/>
            <color indexed="81"/>
            <rFont val="Tahoma"/>
            <family val="2"/>
          </rPr>
          <t xml:space="preserve">
$Cost / bale</t>
        </r>
        <r>
          <rPr>
            <sz val="8"/>
            <color indexed="81"/>
            <rFont val="Tahoma"/>
            <family val="2"/>
          </rPr>
          <t xml:space="preserve">
</t>
        </r>
      </text>
    </comment>
    <comment ref="D64" authorId="0" shapeId="0">
      <text>
        <r>
          <rPr>
            <b/>
            <sz val="8"/>
            <color indexed="81"/>
            <rFont val="Tahoma"/>
            <family val="2"/>
          </rPr>
          <t xml:space="preserve">
Cost per bale</t>
        </r>
        <r>
          <rPr>
            <sz val="8"/>
            <color indexed="81"/>
            <rFont val="Tahoma"/>
            <family val="2"/>
          </rPr>
          <t xml:space="preserve">
</t>
        </r>
      </text>
    </comment>
    <comment ref="C65"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shapeId="0">
      <text>
        <r>
          <rPr>
            <b/>
            <sz val="8"/>
            <color indexed="81"/>
            <rFont val="Tahoma"/>
            <family val="2"/>
          </rPr>
          <t xml:space="preserve">
Price per bale for bale wrapping</t>
        </r>
        <r>
          <rPr>
            <sz val="8"/>
            <color indexed="81"/>
            <rFont val="Tahoma"/>
            <family val="2"/>
          </rPr>
          <t xml:space="preserve">
</t>
        </r>
      </text>
    </comment>
    <comment ref="D68" authorId="0" shapeId="0">
      <text>
        <r>
          <rPr>
            <b/>
            <sz val="8"/>
            <color indexed="81"/>
            <rFont val="Tahoma"/>
            <family val="2"/>
          </rPr>
          <t>To calculate cost including land rent 
enter rent per acre here.
Leave blank to calculate costs without land rent.</t>
        </r>
      </text>
    </comment>
    <comment ref="C74" authorId="1" shapeId="0">
      <text>
        <r>
          <rPr>
            <b/>
            <sz val="8"/>
            <color indexed="81"/>
            <rFont val="Tahoma"/>
            <family val="2"/>
          </rPr>
          <t xml:space="preserve">
Enter yield per acre</t>
        </r>
      </text>
    </comment>
    <comment ref="D74" authorId="1" shapeId="0">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shapeId="0">
      <text>
        <r>
          <rPr>
            <b/>
            <sz val="8"/>
            <color indexed="81"/>
            <rFont val="Tahoma"/>
            <family val="2"/>
          </rPr>
          <t>Enter tons applied per acre</t>
        </r>
      </text>
    </comment>
    <comment ref="D21" authorId="0" shapeId="0">
      <text>
        <r>
          <rPr>
            <sz val="8"/>
            <color indexed="81"/>
            <rFont val="Tahoma"/>
            <family val="2"/>
          </rPr>
          <t xml:space="preserve">
Enter price per ton</t>
        </r>
      </text>
    </comment>
    <comment ref="C27" authorId="0" shapeId="0">
      <text>
        <r>
          <rPr>
            <b/>
            <sz val="8"/>
            <color indexed="81"/>
            <rFont val="Tahoma"/>
            <family val="2"/>
          </rPr>
          <t xml:space="preserve">
Enter seed cost per pound</t>
        </r>
        <r>
          <rPr>
            <sz val="8"/>
            <color indexed="81"/>
            <rFont val="Tahoma"/>
            <family val="2"/>
          </rPr>
          <t xml:space="preserve">
</t>
        </r>
      </text>
    </comment>
    <comment ref="C28" authorId="0" shapeId="0">
      <text>
        <r>
          <rPr>
            <b/>
            <sz val="8"/>
            <color indexed="81"/>
            <rFont val="Tahoma"/>
            <family val="2"/>
          </rPr>
          <t>Enter planted population</t>
        </r>
      </text>
    </comment>
    <comment ref="C31" authorId="0" shapeId="0">
      <text>
        <r>
          <rPr>
            <b/>
            <sz val="8"/>
            <color indexed="81"/>
            <rFont val="Tahoma"/>
            <family val="2"/>
          </rPr>
          <t xml:space="preserve">Enter number of times each tillage or service is used </t>
        </r>
        <r>
          <rPr>
            <sz val="8"/>
            <color indexed="81"/>
            <rFont val="Tahoma"/>
            <family val="2"/>
          </rPr>
          <t xml:space="preserve">
</t>
        </r>
      </text>
    </comment>
    <comment ref="D31" authorId="1" shapeId="0">
      <text>
        <r>
          <rPr>
            <b/>
            <sz val="8"/>
            <color indexed="81"/>
            <rFont val="Tahoma"/>
            <family val="2"/>
          </rPr>
          <t xml:space="preserve">based on 1 test every 4 year. </t>
        </r>
      </text>
    </comment>
    <comment ref="C44" authorId="0" shapeId="0">
      <text>
        <r>
          <rPr>
            <sz val="8"/>
            <color indexed="81"/>
            <rFont val="Tahoma"/>
            <family val="2"/>
          </rPr>
          <t xml:space="preserve">
Enter 1 if you have irrigation
Enter 0 if you do not have irrigation
</t>
        </r>
      </text>
    </comment>
    <comment ref="D44" authorId="0" shapeId="0">
      <text>
        <r>
          <rPr>
            <sz val="8"/>
            <color indexed="81"/>
            <rFont val="Tahoma"/>
            <family val="2"/>
          </rPr>
          <t xml:space="preserve">
Fixed ownership cost per acre
</t>
        </r>
      </text>
    </comment>
    <comment ref="C45" authorId="0" shapeId="0">
      <text>
        <r>
          <rPr>
            <sz val="8"/>
            <color indexed="81"/>
            <rFont val="Tahoma"/>
            <family val="2"/>
          </rPr>
          <t xml:space="preserve">
Enter inches of water applied by irrigation
</t>
        </r>
      </text>
    </comment>
    <comment ref="D45"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shapeId="0">
      <text>
        <r>
          <rPr>
            <b/>
            <sz val="8"/>
            <color indexed="81"/>
            <rFont val="Tahoma"/>
            <family val="2"/>
          </rPr>
          <t xml:space="preserve">Enter the number of times each tillage method is used
</t>
        </r>
      </text>
    </comment>
    <comment ref="C62"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5"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shapeId="0">
      <text>
        <r>
          <rPr>
            <b/>
            <sz val="8"/>
            <color indexed="81"/>
            <rFont val="Tahoma"/>
            <family val="2"/>
          </rPr>
          <t xml:space="preserve">
Cost/bale</t>
        </r>
        <r>
          <rPr>
            <sz val="8"/>
            <color indexed="81"/>
            <rFont val="Tahoma"/>
            <family val="2"/>
          </rPr>
          <t xml:space="preserve">
</t>
        </r>
      </text>
    </comment>
    <comment ref="D66" authorId="0" shapeId="0">
      <text>
        <r>
          <rPr>
            <b/>
            <sz val="8"/>
            <color indexed="81"/>
            <rFont val="Tahoma"/>
            <family val="2"/>
          </rPr>
          <t xml:space="preserve">
$Cost / bale</t>
        </r>
        <r>
          <rPr>
            <sz val="8"/>
            <color indexed="81"/>
            <rFont val="Tahoma"/>
            <family val="2"/>
          </rPr>
          <t xml:space="preserve">
</t>
        </r>
      </text>
    </comment>
    <comment ref="D67" authorId="0" shapeId="0">
      <text>
        <r>
          <rPr>
            <b/>
            <sz val="8"/>
            <color indexed="81"/>
            <rFont val="Tahoma"/>
            <family val="2"/>
          </rPr>
          <t xml:space="preserve">
Cost per bale</t>
        </r>
        <r>
          <rPr>
            <sz val="8"/>
            <color indexed="81"/>
            <rFont val="Tahoma"/>
            <family val="2"/>
          </rPr>
          <t xml:space="preserve">
</t>
        </r>
      </text>
    </comment>
    <comment ref="C68"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shapeId="0">
      <text>
        <r>
          <rPr>
            <b/>
            <sz val="8"/>
            <color indexed="81"/>
            <rFont val="Tahoma"/>
            <family val="2"/>
          </rPr>
          <t xml:space="preserve">
Price per bale for bale wrapping</t>
        </r>
        <r>
          <rPr>
            <sz val="8"/>
            <color indexed="81"/>
            <rFont val="Tahoma"/>
            <family val="2"/>
          </rPr>
          <t xml:space="preserve">
</t>
        </r>
      </text>
    </comment>
    <comment ref="D71" authorId="0" shapeId="0">
      <text>
        <r>
          <rPr>
            <b/>
            <sz val="8"/>
            <color indexed="81"/>
            <rFont val="Tahoma"/>
            <family val="2"/>
          </rPr>
          <t>To calculate cost including land rent 
enter rent per acre here.
Leave blank to calculate costs without land rent.</t>
        </r>
      </text>
    </comment>
    <comment ref="C77" authorId="1" shapeId="0">
      <text>
        <r>
          <rPr>
            <b/>
            <sz val="8"/>
            <color indexed="81"/>
            <rFont val="Tahoma"/>
            <family val="2"/>
          </rPr>
          <t xml:space="preserve">
yield per acre</t>
        </r>
      </text>
    </comment>
    <comment ref="D77" authorId="1" shapeId="0">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<sst xmlns="http://schemas.openxmlformats.org/spreadsheetml/2006/main" count="651" uniqueCount="208">
  <si>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</si>
  <si>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</si>
  <si>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</si>
  <si>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</si>
  <si>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</si>
  <si>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</si>
  <si>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</si>
  <si>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</si>
  <si>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</si>
  <si>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</si>
  <si>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</si>
  <si>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</si>
  <si>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</si>
  <si>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</si>
  <si>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</si>
  <si>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</si>
  <si>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</si>
  <si>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</si>
  <si>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</si>
  <si>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</si>
  <si>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</si>
  <si>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</si>
  <si>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</si>
  <si>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</si>
  <si>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</si>
  <si>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</si>
  <si>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</si>
  <si>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</si>
  <si>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</si>
  <si>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</si>
  <si>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</si>
  <si>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</si>
  <si>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</si>
  <si>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</si>
  <si>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</si>
  <si>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</si>
  <si>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</si>
  <si>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</si>
  <si>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</si>
  <si>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</si>
  <si>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</si>
  <si>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</si>
  <si>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</si>
  <si>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</si>
  <si>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</si>
  <si>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</si>
  <si>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</si>
  <si>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</si>
  <si>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</si>
  <si>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</si>
  <si>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</si>
  <si>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</si>
  <si>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</si>
  <si>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</si>
  <si>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</si>
  <si>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</si>
  <si>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</si>
  <si>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</si>
  <si>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</si>
  <si>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</si>
  <si>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</si>
  <si>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</si>
  <si>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</si>
  <si>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</si>
  <si>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</si>
  <si>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</si>
  <si>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</si>
  <si>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</si>
  <si>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</si>
  <si>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</si>
  <si>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</si>
  <si>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</si>
  <si>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</si>
  <si>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</si>
  <si>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</si>
  <si>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</si>
  <si>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</si>
  <si>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</si>
  <si>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</si>
  <si>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</si>
  <si>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</si>
  <si>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</si>
  <si>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</si>
  <si>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</si>
  <si>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</si>
  <si>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</si>
  <si>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</si>
  <si>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</si>
  <si>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</si>
  <si>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</si>
  <si>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</si>
  <si>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</si>
  <si>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</si>
  <si>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</si>
  <si>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</si>
  <si>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</si>
  <si>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</si>
  <si>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</si>
  <si>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</si>
  <si>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</si>
  <si>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</si>
  <si>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</si>
  <si>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</si>
  <si>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</si>
  <si>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</si>
  <si>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</si>
  <si>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</si>
  <si>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</si>
  <si>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</si>
  <si>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</si>
  <si>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</si>
  <si>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</si>
  <si>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</si>
  <si>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</si>
  <si>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</si>
  <si>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</si>
  <si>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</si>
  <si>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</si>
  <si>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</si>
  <si>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</si>
  <si>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</si>
  <si>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</si>
  <si>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</si>
  <si>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</si>
  <si>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</si>
  <si>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</si>
  <si>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</si>
  <si>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</si>
  <si>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</si>
  <si>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</si>
  <si>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</si>
  <si>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</si>
  <si>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</si>
  <si>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</si>
  <si>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</si>
  <si>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</si>
  <si>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</si>
  <si>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</si>
  <si>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</si>
  <si>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</si>
  <si>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</si>
  <si>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</si>
  <si>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</si>
  <si>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</si>
  <si>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</si>
  <si>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</si>
  <si>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</si>
  <si>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</si>
  <si>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</si>
  <si>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</si>
  <si>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</si>
  <si>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</si>
  <si>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</si>
  <si>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</si>
  <si>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</si>
  <si>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</si>
  <si>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</si>
  <si>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</si>
  <si>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</si>
  <si>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</si>
  <si>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</si>
  <si>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</si>
  <si>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</si>
  <si>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</si>
  <si>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</si>
  <si>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</si>
  <si>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</si>
  <si>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</si>
  <si>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</si>
  <si>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</si>
  <si>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</si>
  <si>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In the fertilizer section on the top, right side of the spreadsheet -</t>
  </si>
  <si>
    <t>On the left side of the spreadsheet-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</si>
  <si>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</si>
  <si>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</si>
  <si>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</si>
  <si>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</si>
  <si>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Email me if you have questions – ken.williams@ces.uwex.edu</t>
  </si>
  <si>
    <t xml:space="preserve">    Enter price per ton for each fertilizer you will use. Cost per pound is calculated.</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</si>
  <si>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</si>
  <si>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</si>
  <si>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</si>
  <si>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 xml:space="preserve">   Seed cost-  simply enter cost per bag, enter plant population, cost per acre is calculated based on    80,000/bag</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</si>
  <si>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</si>
  <si>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</si>
  <si>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</si>
  <si>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</si>
  <si>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</si>
  <si>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</si>
  <si>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</si>
  <si>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</si>
  <si>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</si>
  <si>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   Ken Williams, University of Wisconsin- Extension, Waushara County Wisconsin</t>
  </si>
  <si>
    <t xml:space="preserve">Cost per unit of phosphorus in MAP, DAP, 10-34-0 and 12-10-0-10S 1Zn  </t>
  </si>
  <si>
    <t xml:space="preserve"> is calculated after deducting the value of the nitrogen portion using the  </t>
  </si>
  <si>
    <t>average per unit cost of 28% and anhydrous</t>
  </si>
  <si>
    <t xml:space="preserve">Your </t>
  </si>
  <si>
    <t xml:space="preserve">Your Starter </t>
  </si>
  <si>
    <t xml:space="preserve">      MAP, DAP, 12-40-0 10S 1Zn</t>
  </si>
  <si>
    <t xml:space="preserve">   Starter</t>
  </si>
  <si>
    <r>
      <t>NH</t>
    </r>
    <r>
      <rPr>
        <b/>
        <vertAlign val="subscript"/>
        <sz val="10"/>
        <rFont val="Arial"/>
        <family val="2"/>
      </rPr>
      <t>3</t>
    </r>
  </si>
  <si>
    <t>Irrigation costs are calculated, enter a 1 for ownership cost if you have irrigation, next line enter inches of water applied by irrigation, farmer can change cost per acre if they desire, otherwise cost is calculated based on an ownership cost of $135/a plus $10 for each inch of water applied.</t>
  </si>
  <si>
    <t>Grain drying -  farmer enters number of points of moisture needed to dry (21% corn to 15% corn =6 points) enter 6 in first column, drying cost is then calculated at $.05 per point. Farmer can change their per point cost if you feel your's is higher or lower.</t>
  </si>
  <si>
    <t>Enter a 0 or 1 for combine use, Combine cost is set at $35/acre, can be changed if different.</t>
  </si>
  <si>
    <t>Enter a 0 or a 1 or 2 for number of times each tillage practice used.</t>
  </si>
  <si>
    <t>Tillage costs are calculated based on custom rates for each tillage practice, farmers can change the cost per acre if they feel their actual per acre cost is different.                                                                                                                    Custom rates are normally lower than rates would be for an average farmer due to higher acres per implement.</t>
  </si>
  <si>
    <r>
      <t xml:space="preserve">Download spreadsheet at-     </t>
    </r>
    <r>
      <rPr>
        <b/>
        <sz val="10"/>
        <rFont val="Arial"/>
        <family val="2"/>
      </rPr>
      <t>http://waushara.uwex.edu/agriculture/</t>
    </r>
  </si>
  <si>
    <t>Download spreadsheet at-     http://waushara.uwex.edu/agriculture/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</si>
</sst>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0.0"/>
    <numFmt numFmtId="166" formatCode="0.0"/>
    <numFmt numFmtId="167" formatCode="[$-409]d\-mmm\-yy;@"/>
    <numFmt numFmtId="168" formatCode="[$-409]mmmm\ d\,\ yyyy;@"/>
  </numFmts>
  <fonts count="20"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
      <sz val="9"/>
      <name val="Arial"/>
      <family val="2"/>
    </font>
  </fonts>
  <fills count="10">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8"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2">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2" borderId="1" xfId="0" applyNumberFormat="1" applyFill="1" applyBorder="1" applyAlignment="1" applyProtection="1">
      <alignment horizontal="right"/>
      <protection locked="0"/>
    </xf>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0" fillId="8" borderId="1" xfId="0" applyNumberFormat="1" applyFill="1" applyBorder="1" applyAlignment="1" applyProtection="1">
      <alignment horizontal="center"/>
    </xf>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1" fillId="0" borderId="0" xfId="0" applyFont="1" applyFill="1" applyBorder="1" applyAlignment="1" applyProtection="1">
      <alignment horizontal="left"/>
    </xf>
    <xf numFmtId="0" fontId="1" fillId="0" borderId="0" xfId="0" applyFont="1" applyAlignment="1">
      <alignment horizontal="left"/>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xf numFmtId="0" fontId="4" fillId="0" borderId="0" xfId="0" applyFont="1" applyAlignment="1">
      <alignment horizontal="center"/>
    </xf>
    <xf numFmtId="14" fontId="10" fillId="0" borderId="0" xfId="0" quotePrefix="1" applyNumberFormat="1" applyFont="1" applyProtection="1"/>
    <xf numFmtId="2" fontId="0" fillId="9" borderId="3" xfId="0" applyNumberFormat="1" applyFill="1" applyBorder="1" applyAlignment="1" applyProtection="1">
      <alignment horizontal="right"/>
      <protection locked="0"/>
    </xf>
    <xf numFmtId="1" fontId="0" fillId="9" borderId="1" xfId="0" applyNumberFormat="1" applyFill="1" applyBorder="1" applyAlignment="1" applyProtection="1">
      <alignment horizontal="center"/>
      <protection locked="0"/>
    </xf>
    <xf numFmtId="2" fontId="0" fillId="9" borderId="1" xfId="0" applyNumberFormat="1" applyFill="1" applyBorder="1" applyAlignment="1" applyProtection="1">
      <alignment horizontal="right"/>
      <protection locked="0"/>
    </xf>
    <xf numFmtId="15" fontId="19" fillId="0" borderId="0" xfId="0" quotePrefix="1" applyNumberFormat="1" applyFont="1" applyAlignment="1" applyProtection="1">
      <alignment horizontal="left"/>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11</xdr:col>
      <xdr:colOff>285750</xdr:colOff>
      <xdr:row>10</xdr:row>
      <xdr:rowOff>57150</xdr:rowOff>
    </xdr:to>
    <xdr:pic>
      <xdr:nvPicPr>
        <xdr:cNvPr id="1104" name="Picture 52"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9715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D14" sqref="D14"/>
    </sheetView>
  </sheetViews>
  <sheetFormatPr defaultRowHeight="12.75" x14ac:dyDescent="0.2"/>
  <cols>
    <col min="1" max="1" width="96.7109375" customWidth="1"/>
  </cols>
  <sheetData>
    <row r="1" spans="1:1" ht="26.25" customHeight="1" x14ac:dyDescent="0.2">
      <c r="A1" s="168" t="s">
        <v>170</v>
      </c>
    </row>
    <row r="2" spans="1:1" ht="15.75" x14ac:dyDescent="0.2">
      <c r="A2" s="168"/>
    </row>
    <row r="3" spans="1:1" ht="15" x14ac:dyDescent="0.2">
      <c r="A3" s="169" t="s">
        <v>171</v>
      </c>
    </row>
    <row r="4" spans="1:1" ht="15" x14ac:dyDescent="0.2">
      <c r="A4" s="169" t="s">
        <v>178</v>
      </c>
    </row>
    <row r="5" spans="1:1" ht="15" x14ac:dyDescent="0.2">
      <c r="A5" s="169"/>
    </row>
    <row r="6" spans="1:1" ht="15" x14ac:dyDescent="0.2">
      <c r="A6" s="169" t="s">
        <v>172</v>
      </c>
    </row>
    <row r="7" spans="1:1" ht="15" x14ac:dyDescent="0.2">
      <c r="A7" s="169" t="s">
        <v>179</v>
      </c>
    </row>
    <row r="8" spans="1:1" ht="18" x14ac:dyDescent="0.2">
      <c r="A8" s="169" t="s">
        <v>180</v>
      </c>
    </row>
    <row r="9" spans="1:1" ht="30" x14ac:dyDescent="0.2">
      <c r="A9" s="169" t="s">
        <v>181</v>
      </c>
    </row>
    <row r="10" spans="1:1" ht="15" x14ac:dyDescent="0.2">
      <c r="A10" s="169" t="s">
        <v>183</v>
      </c>
    </row>
    <row r="11" spans="1:1" ht="30" x14ac:dyDescent="0.2">
      <c r="A11" s="169" t="s">
        <v>182</v>
      </c>
    </row>
    <row r="12" spans="1:1" ht="15" x14ac:dyDescent="0.2">
      <c r="A12" s="169" t="s">
        <v>184</v>
      </c>
    </row>
    <row r="13" spans="1:1" ht="45" x14ac:dyDescent="0.2">
      <c r="A13" s="169" t="s">
        <v>201</v>
      </c>
    </row>
    <row r="14" spans="1:1" ht="63" customHeight="1" x14ac:dyDescent="0.2">
      <c r="A14" s="169" t="s">
        <v>205</v>
      </c>
    </row>
    <row r="15" spans="1:1" ht="15" x14ac:dyDescent="0.2">
      <c r="A15" s="169" t="s">
        <v>204</v>
      </c>
    </row>
    <row r="16" spans="1:1" ht="15" x14ac:dyDescent="0.2">
      <c r="A16" s="169" t="s">
        <v>203</v>
      </c>
    </row>
    <row r="17" spans="1:1" ht="45" x14ac:dyDescent="0.2">
      <c r="A17" s="169" t="s">
        <v>202</v>
      </c>
    </row>
    <row r="18" spans="1:1" ht="15" x14ac:dyDescent="0.2">
      <c r="A18" s="169" t="s">
        <v>173</v>
      </c>
    </row>
    <row r="19" spans="1:1" ht="15" x14ac:dyDescent="0.2">
      <c r="A19" s="169" t="s">
        <v>174</v>
      </c>
    </row>
    <row r="20" spans="1:1" ht="15" x14ac:dyDescent="0.2">
      <c r="A20" s="169" t="s">
        <v>175</v>
      </c>
    </row>
    <row r="21" spans="1:1" ht="30" x14ac:dyDescent="0.2">
      <c r="A21" s="169" t="s">
        <v>176</v>
      </c>
    </row>
    <row r="22" spans="1:1" ht="15" x14ac:dyDescent="0.2">
      <c r="A22" s="169"/>
    </row>
    <row r="23" spans="1:1" x14ac:dyDescent="0.2">
      <c r="A23" s="170" t="s">
        <v>177</v>
      </c>
    </row>
    <row r="24" spans="1:1" x14ac:dyDescent="0.2">
      <c r="A24" s="171"/>
    </row>
    <row r="25" spans="1:1" x14ac:dyDescent="0.2">
      <c r="A25" s="171"/>
    </row>
  </sheetData>
  <sheetProtection password="C7F8" sheet="1" objects="1" scenarios="1"/>
  <hyperlinks>
    <hyperlink ref="A23" r:id="rId1" display="mailto:ken.williams@ces.uwex.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opLeftCell="A51" zoomScaleNormal="100" workbookViewId="0">
      <selection activeCell="C80" sqref="C80:D80"/>
    </sheetView>
  </sheetViews>
  <sheetFormatPr defaultRowHeight="12.75" x14ac:dyDescent="0.2"/>
  <cols>
    <col min="1" max="1" width="22.140625" customWidth="1"/>
    <col min="2" max="2" width="14.85546875" customWidth="1"/>
    <col min="3" max="3" width="9.42578125" customWidth="1"/>
    <col min="4" max="4" width="9" customWidth="1"/>
    <col min="5" max="5" width="9.7109375" bestFit="1" customWidth="1"/>
    <col min="6" max="6" width="2.140625" customWidth="1"/>
    <col min="7" max="7" width="13.28515625" customWidth="1"/>
    <col min="8" max="8" width="7.5703125" customWidth="1"/>
    <col min="9" max="9" width="7.85546875" customWidth="1"/>
    <col min="10" max="10" width="8.28515625" customWidth="1"/>
    <col min="11" max="11" width="8" customWidth="1"/>
    <col min="12" max="12" width="8.85546875" customWidth="1"/>
  </cols>
  <sheetData>
    <row r="1" spans="1:11" ht="15.75" customHeight="1" x14ac:dyDescent="0.2">
      <c r="A1" s="128" t="s">
        <v>129</v>
      </c>
      <c r="B1" s="174" t="s">
        <v>192</v>
      </c>
    </row>
    <row r="2" spans="1:11" ht="15.75" customHeight="1" x14ac:dyDescent="0.2">
      <c r="A2" t="s">
        <v>130</v>
      </c>
      <c r="E2" t="s">
        <v>131</v>
      </c>
    </row>
    <row r="3" spans="1:11" ht="8.25" customHeight="1" x14ac:dyDescent="0.2"/>
    <row r="4" spans="1:11" ht="15" customHeight="1" x14ac:dyDescent="0.2">
      <c r="A4" t="s">
        <v>206</v>
      </c>
    </row>
    <row r="5" spans="1:11" ht="8.25" customHeight="1" x14ac:dyDescent="0.2"/>
    <row r="6" spans="1:11" ht="18.75" customHeight="1" x14ac:dyDescent="0.25">
      <c r="A6" s="13" t="s">
        <v>46</v>
      </c>
      <c r="B6" s="11"/>
      <c r="D6" s="89" t="s">
        <v>168</v>
      </c>
      <c r="E6" s="194">
        <v>42742</v>
      </c>
      <c r="F6" s="11"/>
      <c r="G6" s="11"/>
      <c r="H6" s="11"/>
      <c r="I6" s="11"/>
      <c r="J6" s="11"/>
      <c r="K6" s="11"/>
    </row>
    <row r="7" spans="1:11" ht="5.25" customHeight="1" x14ac:dyDescent="0.2">
      <c r="A7" s="11"/>
      <c r="B7" s="11"/>
      <c r="C7" s="11"/>
      <c r="D7" s="11"/>
      <c r="E7" s="11"/>
      <c r="F7" s="11"/>
      <c r="G7" s="11"/>
      <c r="H7" s="11"/>
      <c r="I7" s="11"/>
      <c r="J7" s="11"/>
      <c r="K7" s="11"/>
    </row>
    <row r="8" spans="1:11" x14ac:dyDescent="0.2">
      <c r="A8" s="160" t="s">
        <v>47</v>
      </c>
      <c r="B8" s="11"/>
      <c r="C8" s="14"/>
      <c r="D8" s="11"/>
      <c r="E8" s="11"/>
      <c r="F8" s="11"/>
      <c r="G8" s="11"/>
      <c r="H8" s="11"/>
      <c r="I8" s="11"/>
      <c r="J8" s="11"/>
      <c r="K8" s="11"/>
    </row>
    <row r="9" spans="1:11" x14ac:dyDescent="0.2">
      <c r="A9" s="160" t="s">
        <v>79</v>
      </c>
      <c r="B9" s="11"/>
      <c r="C9" s="61"/>
      <c r="D9" s="11"/>
      <c r="E9" s="11"/>
      <c r="F9" s="11"/>
      <c r="G9" s="11"/>
      <c r="H9" s="11"/>
      <c r="I9" s="11"/>
      <c r="J9" s="11"/>
      <c r="K9" s="11"/>
    </row>
    <row r="10" spans="1:11" ht="12" customHeight="1" x14ac:dyDescent="0.2">
      <c r="A10" s="11"/>
      <c r="B10" s="11"/>
      <c r="C10" s="15"/>
      <c r="D10" s="17" t="s">
        <v>4</v>
      </c>
      <c r="E10" s="17" t="s">
        <v>5</v>
      </c>
      <c r="F10" s="11"/>
      <c r="G10" s="11"/>
      <c r="H10" s="11"/>
      <c r="I10" s="11"/>
      <c r="J10" s="11"/>
      <c r="K10" s="11"/>
    </row>
    <row r="11" spans="1:11" ht="13.5" thickBot="1" x14ac:dyDescent="0.25">
      <c r="A11" s="16"/>
      <c r="B11" s="18" t="s">
        <v>2</v>
      </c>
      <c r="C11" s="18" t="s">
        <v>3</v>
      </c>
      <c r="D11" s="18" t="s">
        <v>0</v>
      </c>
      <c r="E11" s="18" t="s">
        <v>6</v>
      </c>
      <c r="F11" s="11"/>
      <c r="G11" s="11"/>
      <c r="H11" s="16"/>
      <c r="I11" s="11"/>
      <c r="J11" s="11"/>
      <c r="K11" s="11"/>
    </row>
    <row r="12" spans="1:11" x14ac:dyDescent="0.2">
      <c r="A12" s="70" t="s">
        <v>80</v>
      </c>
      <c r="B12" s="17"/>
      <c r="C12" s="17"/>
      <c r="D12" s="17"/>
      <c r="E12" s="17"/>
      <c r="F12" s="11"/>
      <c r="H12" s="191"/>
    </row>
    <row r="13" spans="1:11" ht="15" customHeight="1" x14ac:dyDescent="0.2">
      <c r="A13" s="71" t="s">
        <v>22</v>
      </c>
      <c r="B13" s="17"/>
      <c r="C13" s="21"/>
      <c r="D13" s="21"/>
      <c r="E13" s="21"/>
      <c r="F13" s="11"/>
      <c r="H13" s="184" t="s">
        <v>196</v>
      </c>
      <c r="I13" s="185"/>
      <c r="J13" s="16"/>
      <c r="K13" s="11"/>
    </row>
    <row r="14" spans="1:11" x14ac:dyDescent="0.2">
      <c r="A14" s="183" t="s">
        <v>199</v>
      </c>
      <c r="F14" s="11"/>
      <c r="G14" s="19" t="s">
        <v>48</v>
      </c>
      <c r="H14" s="70" t="s">
        <v>48</v>
      </c>
      <c r="I14" s="176" t="s">
        <v>185</v>
      </c>
      <c r="J14" s="32"/>
      <c r="K14" s="11"/>
    </row>
    <row r="15" spans="1:11" x14ac:dyDescent="0.2">
      <c r="A15" s="186" t="s">
        <v>197</v>
      </c>
      <c r="B15" s="17" t="s">
        <v>49</v>
      </c>
      <c r="C15" s="3">
        <v>200</v>
      </c>
      <c r="D15" s="10">
        <f>H16</f>
        <v>0.1925</v>
      </c>
      <c r="E15" s="10">
        <f>C15*D15</f>
        <v>38.5</v>
      </c>
      <c r="F15" s="11"/>
      <c r="G15" s="22" t="s">
        <v>21</v>
      </c>
      <c r="H15" s="67">
        <v>385</v>
      </c>
      <c r="I15" s="137">
        <v>0</v>
      </c>
      <c r="J15" s="32"/>
      <c r="K15" s="11"/>
    </row>
    <row r="16" spans="1:11" x14ac:dyDescent="0.2">
      <c r="A16" s="181" t="s">
        <v>185</v>
      </c>
      <c r="B16" s="17" t="s">
        <v>49</v>
      </c>
      <c r="C16" s="187">
        <v>0</v>
      </c>
      <c r="D16" s="10">
        <f>I16</f>
        <v>0</v>
      </c>
      <c r="E16" s="188">
        <f>C16*D16</f>
        <v>0</v>
      </c>
      <c r="F16" s="11"/>
      <c r="G16" s="23" t="s">
        <v>50</v>
      </c>
      <c r="H16" s="31">
        <f>+H15/2000</f>
        <v>0.1925</v>
      </c>
      <c r="I16" s="31">
        <f>+I15/2000</f>
        <v>0</v>
      </c>
      <c r="J16" s="32"/>
      <c r="K16" s="11"/>
    </row>
    <row r="17" spans="1:14" ht="14.25" customHeight="1" x14ac:dyDescent="0.2">
      <c r="A17" s="181"/>
      <c r="B17" s="33"/>
      <c r="C17" s="189"/>
      <c r="D17" s="190"/>
      <c r="E17" s="190"/>
      <c r="F17" s="11"/>
      <c r="G17" s="11"/>
      <c r="H17" s="11"/>
      <c r="I17" s="11"/>
      <c r="J17" s="11"/>
      <c r="K17" s="11"/>
    </row>
    <row r="18" spans="1:14" ht="13.5" customHeight="1" x14ac:dyDescent="0.3">
      <c r="A18" s="73" t="s">
        <v>153</v>
      </c>
      <c r="B18" s="33" t="s">
        <v>94</v>
      </c>
      <c r="C18" s="3"/>
      <c r="D18" s="10">
        <f>+H21</f>
        <v>0</v>
      </c>
      <c r="E18" s="10">
        <f>C18*D18</f>
        <v>0</v>
      </c>
      <c r="F18" s="11"/>
      <c r="G18" s="25" t="s">
        <v>27</v>
      </c>
      <c r="H18" s="26" t="s">
        <v>20</v>
      </c>
      <c r="I18" s="26" t="s">
        <v>24</v>
      </c>
      <c r="J18" s="175" t="s">
        <v>118</v>
      </c>
      <c r="K18" s="177" t="s">
        <v>186</v>
      </c>
    </row>
    <row r="19" spans="1:14" ht="14.25" customHeight="1" x14ac:dyDescent="0.3">
      <c r="A19" s="74" t="s">
        <v>154</v>
      </c>
      <c r="B19" s="33" t="s">
        <v>94</v>
      </c>
      <c r="C19" s="3">
        <v>0</v>
      </c>
      <c r="D19" s="123">
        <f>+I21</f>
        <v>0.4826086956521739</v>
      </c>
      <c r="E19" s="123">
        <f>C19*D19</f>
        <v>0</v>
      </c>
      <c r="F19" s="11"/>
      <c r="G19" s="22" t="s">
        <v>21</v>
      </c>
      <c r="H19" s="67">
        <v>0</v>
      </c>
      <c r="I19" s="137">
        <v>444</v>
      </c>
      <c r="J19" s="137">
        <v>0</v>
      </c>
      <c r="K19" s="5">
        <v>0</v>
      </c>
      <c r="N19" s="99"/>
    </row>
    <row r="20" spans="1:14" ht="12.75" customHeight="1" x14ac:dyDescent="0.3">
      <c r="A20" s="74" t="s">
        <v>155</v>
      </c>
      <c r="B20" s="33" t="s">
        <v>94</v>
      </c>
      <c r="C20" s="122">
        <v>0</v>
      </c>
      <c r="D20" s="123">
        <f>+J21</f>
        <v>0</v>
      </c>
      <c r="E20" s="123">
        <f>C20*D20</f>
        <v>0</v>
      </c>
      <c r="F20" s="11"/>
      <c r="G20" s="22" t="s">
        <v>32</v>
      </c>
      <c r="H20" s="138">
        <v>52</v>
      </c>
      <c r="I20" s="138">
        <v>46</v>
      </c>
      <c r="J20" s="173">
        <v>46</v>
      </c>
      <c r="K20" s="178">
        <v>40</v>
      </c>
    </row>
    <row r="21" spans="1:14" ht="14.25" customHeight="1" x14ac:dyDescent="0.3">
      <c r="A21" s="181" t="s">
        <v>186</v>
      </c>
      <c r="B21" s="33" t="s">
        <v>94</v>
      </c>
      <c r="C21" s="122">
        <v>0</v>
      </c>
      <c r="D21" s="123">
        <f>+K21</f>
        <v>0</v>
      </c>
      <c r="E21" s="123">
        <f>C21*D21</f>
        <v>0</v>
      </c>
      <c r="F21" s="11"/>
      <c r="G21" s="23" t="s">
        <v>91</v>
      </c>
      <c r="H21" s="31">
        <f>(H19-(D31*220))/1040</f>
        <v>0</v>
      </c>
      <c r="I21" s="31">
        <f>(I19-(D31*360))/920</f>
        <v>0.4826086956521739</v>
      </c>
      <c r="J21" s="31">
        <f>J19/920</f>
        <v>0</v>
      </c>
      <c r="K21" s="24">
        <f>(K19-(D31*240))/800</f>
        <v>0</v>
      </c>
    </row>
    <row r="22" spans="1:14" x14ac:dyDescent="0.2">
      <c r="A22" s="74"/>
      <c r="B22" s="11"/>
      <c r="C22" s="49"/>
      <c r="D22" s="11"/>
      <c r="E22" s="11"/>
      <c r="F22" s="11"/>
      <c r="G22" s="11"/>
      <c r="H22" s="11"/>
      <c r="I22" s="11"/>
      <c r="J22" s="16"/>
      <c r="K22" s="11"/>
    </row>
    <row r="23" spans="1:14" ht="15.75" x14ac:dyDescent="0.3">
      <c r="A23" s="73" t="s">
        <v>146</v>
      </c>
      <c r="B23" s="17" t="s">
        <v>95</v>
      </c>
      <c r="C23" s="3">
        <v>0</v>
      </c>
      <c r="D23" s="10">
        <f>H26</f>
        <v>0.27250000000000002</v>
      </c>
      <c r="E23" s="10">
        <f>C23*D23</f>
        <v>0</v>
      </c>
      <c r="F23" s="11"/>
      <c r="G23" s="19" t="s">
        <v>17</v>
      </c>
      <c r="H23" s="20"/>
      <c r="I23" s="76"/>
      <c r="J23" s="16"/>
      <c r="K23" s="11"/>
    </row>
    <row r="24" spans="1:14" x14ac:dyDescent="0.2">
      <c r="A24" s="16"/>
      <c r="B24" s="11"/>
      <c r="C24" s="49"/>
      <c r="D24" s="11"/>
      <c r="E24" s="11"/>
      <c r="F24" s="11"/>
      <c r="G24" s="22" t="s">
        <v>21</v>
      </c>
      <c r="H24" s="66">
        <v>327</v>
      </c>
      <c r="I24" s="32"/>
      <c r="J24" s="11"/>
      <c r="K24" s="11"/>
    </row>
    <row r="25" spans="1:14" ht="14.25" customHeight="1" x14ac:dyDescent="0.3">
      <c r="A25" s="16" t="s">
        <v>147</v>
      </c>
      <c r="B25" s="11"/>
      <c r="C25" s="49"/>
      <c r="D25" s="11"/>
      <c r="E25" s="11"/>
      <c r="F25" s="11"/>
      <c r="G25" s="22" t="s">
        <v>31</v>
      </c>
      <c r="H25" s="34">
        <v>60</v>
      </c>
      <c r="I25" s="32"/>
      <c r="J25" s="11"/>
      <c r="K25" s="11"/>
    </row>
    <row r="26" spans="1:14" ht="15.75" x14ac:dyDescent="0.3">
      <c r="A26" s="16" t="s">
        <v>148</v>
      </c>
      <c r="B26" s="33" t="s">
        <v>96</v>
      </c>
      <c r="C26" s="3">
        <v>150</v>
      </c>
      <c r="D26" s="10">
        <f>+H31</f>
        <v>0.39130434782608697</v>
      </c>
      <c r="E26" s="10">
        <f t="shared" ref="E26:E31" si="0">D26*C26</f>
        <v>58.695652173913047</v>
      </c>
      <c r="F26" s="11"/>
      <c r="G26" s="23" t="s">
        <v>92</v>
      </c>
      <c r="H26" s="24">
        <f>H24/((H25/100)*2000)</f>
        <v>0.27250000000000002</v>
      </c>
      <c r="I26" s="32"/>
      <c r="J26" s="11"/>
      <c r="K26" s="16"/>
    </row>
    <row r="27" spans="1:14" ht="14.25" customHeight="1" x14ac:dyDescent="0.2">
      <c r="A27" s="81" t="s">
        <v>149</v>
      </c>
      <c r="B27" s="33" t="s">
        <v>96</v>
      </c>
      <c r="C27" s="3"/>
      <c r="D27" s="10">
        <f>I31</f>
        <v>0</v>
      </c>
      <c r="E27" s="10">
        <f t="shared" si="0"/>
        <v>0</v>
      </c>
      <c r="F27" s="11"/>
      <c r="G27" s="74"/>
      <c r="H27" s="29"/>
      <c r="I27" s="16"/>
      <c r="J27" s="11"/>
      <c r="K27" s="139" t="s">
        <v>26</v>
      </c>
    </row>
    <row r="28" spans="1:14" ht="14.25" customHeight="1" x14ac:dyDescent="0.25">
      <c r="A28" s="82" t="s">
        <v>150</v>
      </c>
      <c r="B28" s="33" t="s">
        <v>96</v>
      </c>
      <c r="C28" s="3">
        <v>0</v>
      </c>
      <c r="D28" s="10">
        <f>J31</f>
        <v>0</v>
      </c>
      <c r="E28" s="10">
        <f t="shared" si="0"/>
        <v>0</v>
      </c>
      <c r="F28" s="11"/>
      <c r="G28" s="25" t="s">
        <v>30</v>
      </c>
      <c r="H28" s="26" t="s">
        <v>25</v>
      </c>
      <c r="I28" s="36">
        <v>0.28000000000000003</v>
      </c>
      <c r="J28" s="36">
        <v>0.32</v>
      </c>
      <c r="K28" s="193" t="s">
        <v>200</v>
      </c>
      <c r="L28" s="79" t="s">
        <v>68</v>
      </c>
    </row>
    <row r="29" spans="1:14" ht="14.25" customHeight="1" x14ac:dyDescent="0.2">
      <c r="A29" s="16" t="s">
        <v>151</v>
      </c>
      <c r="B29" s="33" t="s">
        <v>96</v>
      </c>
      <c r="C29" s="3"/>
      <c r="D29" s="10">
        <f>+K31</f>
        <v>0</v>
      </c>
      <c r="E29" s="10">
        <f t="shared" si="0"/>
        <v>0</v>
      </c>
      <c r="F29" s="11"/>
      <c r="G29" s="22" t="s">
        <v>21</v>
      </c>
      <c r="H29" s="67">
        <v>360</v>
      </c>
      <c r="I29" s="67">
        <v>0</v>
      </c>
      <c r="J29" s="67">
        <v>0</v>
      </c>
      <c r="K29" s="67">
        <v>0</v>
      </c>
      <c r="L29" s="66">
        <v>327</v>
      </c>
    </row>
    <row r="30" spans="1:14" ht="14.25" customHeight="1" x14ac:dyDescent="0.2">
      <c r="A30" s="16" t="s">
        <v>152</v>
      </c>
      <c r="B30" s="33" t="s">
        <v>96</v>
      </c>
      <c r="C30" s="3">
        <v>100</v>
      </c>
      <c r="D30" s="10">
        <f>+L31</f>
        <v>0.77857142857142858</v>
      </c>
      <c r="E30" s="10">
        <f t="shared" si="0"/>
        <v>77.857142857142861</v>
      </c>
      <c r="F30" s="11"/>
      <c r="G30" s="22" t="s">
        <v>33</v>
      </c>
      <c r="H30" s="16">
        <v>46</v>
      </c>
      <c r="I30" s="16">
        <v>28</v>
      </c>
      <c r="J30" s="16">
        <v>32</v>
      </c>
      <c r="K30" s="16">
        <v>82</v>
      </c>
      <c r="L30" s="80">
        <v>21</v>
      </c>
    </row>
    <row r="31" spans="1:14" ht="14.25" customHeight="1" x14ac:dyDescent="0.2">
      <c r="A31" s="179" t="s">
        <v>198</v>
      </c>
      <c r="B31" s="33" t="s">
        <v>96</v>
      </c>
      <c r="C31" s="163">
        <f>(+C18/52*11)+(+C19/46*18)+(+C21/40*12)</f>
        <v>0</v>
      </c>
      <c r="D31" s="10">
        <f>(+I31+K31)/2</f>
        <v>0</v>
      </c>
      <c r="E31" s="10">
        <f t="shared" si="0"/>
        <v>0</v>
      </c>
      <c r="F31" s="11"/>
      <c r="G31" s="23" t="s">
        <v>93</v>
      </c>
      <c r="H31" s="31">
        <f>H29/((H30/100)*2000)</f>
        <v>0.39130434782608697</v>
      </c>
      <c r="I31" s="31">
        <f>I29/((I30/100)*2000)</f>
        <v>0</v>
      </c>
      <c r="J31" s="31">
        <f>J29/((J30/100)*2000)</f>
        <v>0</v>
      </c>
      <c r="K31" s="31">
        <f>K29/((K30/100)*2000)</f>
        <v>0</v>
      </c>
      <c r="L31" s="24">
        <f>L29/((L30/100)*2000)</f>
        <v>0.77857142857142858</v>
      </c>
    </row>
    <row r="32" spans="1:14" x14ac:dyDescent="0.2">
      <c r="A32" s="16"/>
      <c r="B32" s="33"/>
      <c r="C32" s="33"/>
      <c r="D32" s="46"/>
      <c r="E32" s="46"/>
      <c r="F32" s="11"/>
    </row>
    <row r="33" spans="1:11" x14ac:dyDescent="0.2">
      <c r="A33" s="95" t="s">
        <v>142</v>
      </c>
      <c r="B33" s="51" t="s">
        <v>104</v>
      </c>
      <c r="C33" s="130">
        <v>0</v>
      </c>
      <c r="D33" s="65">
        <v>28</v>
      </c>
      <c r="E33" s="57">
        <f>+C33*D33</f>
        <v>0</v>
      </c>
      <c r="F33" s="11"/>
    </row>
    <row r="34" spans="1:11" x14ac:dyDescent="0.2">
      <c r="A34" s="16"/>
      <c r="B34" s="11"/>
      <c r="C34" s="11"/>
      <c r="D34" s="11"/>
      <c r="E34" s="11"/>
      <c r="F34" s="11"/>
      <c r="G34" s="182" t="s">
        <v>193</v>
      </c>
    </row>
    <row r="35" spans="1:11" x14ac:dyDescent="0.2">
      <c r="A35" s="71" t="s">
        <v>8</v>
      </c>
      <c r="B35" s="17"/>
      <c r="C35" s="21"/>
      <c r="D35" s="21"/>
      <c r="E35" s="21"/>
      <c r="F35" s="11"/>
      <c r="G35" s="182" t="s">
        <v>194</v>
      </c>
    </row>
    <row r="36" spans="1:11" x14ac:dyDescent="0.2">
      <c r="A36" s="74" t="s">
        <v>9</v>
      </c>
      <c r="B36" s="17" t="s">
        <v>34</v>
      </c>
      <c r="C36" s="2">
        <v>220</v>
      </c>
      <c r="D36" s="38" t="s">
        <v>35</v>
      </c>
      <c r="E36" s="10">
        <f>+C36*(C37/80000)</f>
        <v>99</v>
      </c>
      <c r="F36" s="11"/>
      <c r="G36" s="183" t="s">
        <v>195</v>
      </c>
      <c r="H36" s="11"/>
      <c r="I36" s="11"/>
      <c r="J36" s="11"/>
      <c r="K36" s="11"/>
    </row>
    <row r="37" spans="1:11" x14ac:dyDescent="0.2">
      <c r="A37" s="74"/>
      <c r="B37" s="28" t="s">
        <v>86</v>
      </c>
      <c r="C37" s="4">
        <v>36000</v>
      </c>
      <c r="D37" s="21"/>
      <c r="E37" s="21"/>
      <c r="F37" s="11"/>
      <c r="H37" s="11"/>
      <c r="I37" s="11"/>
      <c r="J37" s="11"/>
      <c r="K37" s="11"/>
    </row>
    <row r="38" spans="1:11" x14ac:dyDescent="0.2">
      <c r="A38" s="16"/>
      <c r="B38" s="11"/>
      <c r="C38" s="11"/>
      <c r="D38" s="16"/>
      <c r="E38" s="11"/>
      <c r="F38" s="11"/>
      <c r="G38" s="182" t="s">
        <v>190</v>
      </c>
      <c r="H38" s="42"/>
      <c r="I38" s="11"/>
      <c r="J38" s="11"/>
      <c r="K38" s="11"/>
    </row>
    <row r="39" spans="1:11" ht="13.5" customHeight="1" x14ac:dyDescent="0.2">
      <c r="A39" s="71" t="s">
        <v>10</v>
      </c>
      <c r="B39" s="17"/>
      <c r="C39" s="21"/>
      <c r="D39" s="135" t="s">
        <v>136</v>
      </c>
      <c r="E39" s="21"/>
      <c r="F39" s="11"/>
      <c r="G39" s="174" t="s">
        <v>191</v>
      </c>
      <c r="H39" s="11"/>
      <c r="I39" s="11"/>
      <c r="J39" s="11"/>
      <c r="K39" s="11"/>
    </row>
    <row r="40" spans="1:11" x14ac:dyDescent="0.2">
      <c r="A40" s="33" t="s">
        <v>11</v>
      </c>
      <c r="B40" s="17" t="s">
        <v>1</v>
      </c>
      <c r="C40" s="3">
        <v>0</v>
      </c>
      <c r="D40" s="7">
        <v>1.5</v>
      </c>
      <c r="E40" s="40">
        <f>+D40*C40</f>
        <v>0</v>
      </c>
      <c r="F40" s="11"/>
      <c r="G40" s="11"/>
      <c r="H40" s="11"/>
      <c r="I40" s="11"/>
      <c r="J40" s="11"/>
      <c r="K40" s="11"/>
    </row>
    <row r="41" spans="1:11" x14ac:dyDescent="0.2">
      <c r="A41" s="74" t="s">
        <v>128</v>
      </c>
      <c r="B41" s="17" t="s">
        <v>1</v>
      </c>
      <c r="C41" s="3">
        <v>0</v>
      </c>
      <c r="D41" s="7">
        <v>7</v>
      </c>
      <c r="E41" s="40">
        <f>+D41*C41</f>
        <v>0</v>
      </c>
      <c r="F41" s="11"/>
      <c r="G41" s="180" t="s">
        <v>187</v>
      </c>
      <c r="H41" s="11"/>
      <c r="I41" s="11"/>
      <c r="J41" s="11"/>
      <c r="K41" s="11"/>
    </row>
    <row r="42" spans="1:11" x14ac:dyDescent="0.2">
      <c r="A42" s="33" t="s">
        <v>82</v>
      </c>
      <c r="B42" s="17" t="s">
        <v>1</v>
      </c>
      <c r="C42" s="3">
        <v>0</v>
      </c>
      <c r="D42" s="7">
        <v>7</v>
      </c>
      <c r="E42" s="40">
        <f>+D42*C42</f>
        <v>0</v>
      </c>
      <c r="F42" s="11"/>
      <c r="G42" s="180" t="s">
        <v>189</v>
      </c>
      <c r="H42" s="11"/>
      <c r="I42" s="11"/>
      <c r="J42" s="11"/>
      <c r="K42" s="11"/>
    </row>
    <row r="43" spans="1:11" x14ac:dyDescent="0.2">
      <c r="A43" s="11"/>
      <c r="B43" s="11"/>
      <c r="C43" s="11"/>
      <c r="D43" s="11"/>
      <c r="E43" s="11"/>
      <c r="F43" s="11"/>
      <c r="G43" s="172" t="s">
        <v>188</v>
      </c>
      <c r="H43" s="11"/>
      <c r="I43" s="11"/>
      <c r="J43" s="11"/>
      <c r="K43" s="11"/>
    </row>
    <row r="44" spans="1:11" x14ac:dyDescent="0.2">
      <c r="A44" s="71" t="s">
        <v>14</v>
      </c>
      <c r="B44" s="17"/>
      <c r="C44" s="43"/>
      <c r="D44" s="21"/>
      <c r="E44" s="21"/>
      <c r="F44" s="11"/>
      <c r="G44" s="11"/>
      <c r="H44" s="11"/>
      <c r="I44" s="11"/>
      <c r="J44" s="11"/>
      <c r="K44" s="11"/>
    </row>
    <row r="45" spans="1:11" x14ac:dyDescent="0.2">
      <c r="A45" s="15" t="s">
        <v>72</v>
      </c>
      <c r="B45" s="15" t="s">
        <v>1</v>
      </c>
      <c r="C45" s="3">
        <v>1</v>
      </c>
      <c r="D45" s="7">
        <v>40</v>
      </c>
      <c r="E45" s="40">
        <f>+D45*C45</f>
        <v>40</v>
      </c>
      <c r="F45" s="11"/>
      <c r="G45" s="11"/>
      <c r="H45" s="11"/>
      <c r="I45" s="11"/>
      <c r="J45" s="11"/>
      <c r="K45" s="11"/>
    </row>
    <row r="46" spans="1:11" x14ac:dyDescent="0.2">
      <c r="A46" s="15" t="s">
        <v>15</v>
      </c>
      <c r="B46" s="15" t="s">
        <v>1</v>
      </c>
      <c r="C46" s="3">
        <v>1</v>
      </c>
      <c r="D46" s="7">
        <v>8</v>
      </c>
      <c r="E46" s="40">
        <f>+D46*C46</f>
        <v>8</v>
      </c>
      <c r="F46" s="11"/>
      <c r="G46" s="11"/>
      <c r="H46" s="11"/>
      <c r="I46" s="11"/>
      <c r="J46" s="11"/>
      <c r="K46" s="11"/>
    </row>
    <row r="47" spans="1:11" x14ac:dyDescent="0.2">
      <c r="A47" s="71" t="s">
        <v>70</v>
      </c>
      <c r="B47" s="17"/>
      <c r="C47" s="43"/>
      <c r="D47" s="21"/>
      <c r="E47" s="21"/>
      <c r="F47" s="11"/>
      <c r="G47" s="11"/>
      <c r="H47" s="11"/>
      <c r="I47" s="11"/>
      <c r="J47" s="11"/>
      <c r="K47" s="11"/>
    </row>
    <row r="48" spans="1:11" x14ac:dyDescent="0.2">
      <c r="A48" s="15" t="s">
        <v>71</v>
      </c>
      <c r="B48" s="15" t="s">
        <v>1</v>
      </c>
      <c r="C48" s="3">
        <v>0</v>
      </c>
      <c r="D48" s="7">
        <v>17</v>
      </c>
      <c r="E48" s="40">
        <f>+D48*C48</f>
        <v>0</v>
      </c>
      <c r="F48" s="11"/>
      <c r="G48" s="11"/>
      <c r="H48" s="11"/>
      <c r="I48" s="11"/>
      <c r="J48" s="11"/>
      <c r="K48" s="11"/>
    </row>
    <row r="49" spans="1:11" x14ac:dyDescent="0.2">
      <c r="A49" s="15" t="s">
        <v>15</v>
      </c>
      <c r="B49" s="15" t="s">
        <v>1</v>
      </c>
      <c r="C49" s="3">
        <v>0</v>
      </c>
      <c r="D49" s="7">
        <v>5</v>
      </c>
      <c r="E49" s="40">
        <f>+D49*C49</f>
        <v>0</v>
      </c>
      <c r="F49" s="11"/>
      <c r="G49" s="11"/>
      <c r="H49" s="11"/>
      <c r="I49" s="11"/>
      <c r="J49" s="11"/>
      <c r="K49" s="11"/>
    </row>
    <row r="50" spans="1:11" x14ac:dyDescent="0.2">
      <c r="A50" s="44"/>
      <c r="B50" s="15"/>
      <c r="C50" s="45"/>
      <c r="D50" s="46"/>
      <c r="E50" s="47"/>
      <c r="F50" s="11"/>
      <c r="G50" s="11"/>
      <c r="H50" s="11"/>
      <c r="I50" s="11"/>
      <c r="J50" s="11"/>
      <c r="K50" s="11"/>
    </row>
    <row r="51" spans="1:11" x14ac:dyDescent="0.2">
      <c r="A51" s="54" t="s">
        <v>76</v>
      </c>
      <c r="B51" s="15" t="s">
        <v>140</v>
      </c>
      <c r="C51" s="3">
        <v>0</v>
      </c>
      <c r="D51" s="7">
        <v>150</v>
      </c>
      <c r="E51" s="40">
        <f>+D51*C51</f>
        <v>0</v>
      </c>
      <c r="F51" s="11"/>
      <c r="G51" s="11"/>
      <c r="H51" s="11"/>
      <c r="I51" s="11"/>
      <c r="J51" s="11"/>
      <c r="K51" s="11"/>
    </row>
    <row r="52" spans="1:11" x14ac:dyDescent="0.2">
      <c r="B52" s="28" t="s">
        <v>77</v>
      </c>
      <c r="C52" s="116">
        <v>0</v>
      </c>
      <c r="D52" s="75">
        <v>5.5</v>
      </c>
      <c r="E52" s="10">
        <f>+C52*D52</f>
        <v>0</v>
      </c>
      <c r="F52" s="11"/>
      <c r="G52" s="11"/>
      <c r="H52" s="11"/>
      <c r="I52" s="11"/>
      <c r="J52" s="11"/>
      <c r="K52" s="11"/>
    </row>
    <row r="53" spans="1:11" x14ac:dyDescent="0.2">
      <c r="A53" s="55" t="s">
        <v>156</v>
      </c>
      <c r="B53" s="15"/>
      <c r="C53" s="45"/>
      <c r="D53" s="46"/>
      <c r="E53" s="6">
        <f>SUM(E15:E52)</f>
        <v>322.05279503105589</v>
      </c>
      <c r="F53" s="11"/>
      <c r="G53" s="11"/>
      <c r="H53" s="11"/>
      <c r="I53" s="11"/>
      <c r="J53" s="11"/>
      <c r="K53" s="11"/>
    </row>
    <row r="54" spans="1:11" x14ac:dyDescent="0.2">
      <c r="A54" s="11"/>
      <c r="B54" s="11"/>
      <c r="C54" s="11" t="s">
        <v>138</v>
      </c>
      <c r="D54" s="11"/>
      <c r="E54" s="11"/>
      <c r="F54" s="11"/>
      <c r="G54" s="11"/>
      <c r="H54" s="11"/>
      <c r="I54" s="11"/>
      <c r="J54" s="11"/>
      <c r="K54" s="11"/>
    </row>
    <row r="55" spans="1:11" x14ac:dyDescent="0.2">
      <c r="A55" s="48" t="s">
        <v>36</v>
      </c>
      <c r="B55" s="11"/>
      <c r="C55" s="131" t="s">
        <v>137</v>
      </c>
      <c r="D55" s="35" t="s">
        <v>75</v>
      </c>
      <c r="E55" s="11" t="s">
        <v>139</v>
      </c>
      <c r="F55" s="11"/>
      <c r="G55" s="11"/>
      <c r="H55" s="11"/>
      <c r="I55" s="11"/>
      <c r="J55" s="11"/>
      <c r="K55" s="11"/>
    </row>
    <row r="56" spans="1:11" x14ac:dyDescent="0.2">
      <c r="A56" s="51" t="s">
        <v>40</v>
      </c>
      <c r="B56" s="17"/>
      <c r="C56" s="3">
        <v>0</v>
      </c>
      <c r="D56" s="132">
        <v>13</v>
      </c>
      <c r="E56" s="52">
        <f>C56*D56</f>
        <v>0</v>
      </c>
      <c r="F56" s="11"/>
      <c r="G56" s="11"/>
      <c r="H56" s="11"/>
      <c r="I56" s="11"/>
      <c r="J56" s="11"/>
      <c r="K56" s="11"/>
    </row>
    <row r="57" spans="1:11" x14ac:dyDescent="0.2">
      <c r="A57" s="33" t="s">
        <v>37</v>
      </c>
      <c r="B57" s="17"/>
      <c r="C57" s="3">
        <v>0</v>
      </c>
      <c r="D57" s="7">
        <v>21</v>
      </c>
      <c r="E57" s="52">
        <f t="shared" ref="E57:E63" si="1">C57*D57</f>
        <v>0</v>
      </c>
      <c r="F57" s="11"/>
    </row>
    <row r="58" spans="1:11" x14ac:dyDescent="0.2">
      <c r="A58" s="33" t="s">
        <v>44</v>
      </c>
      <c r="B58" s="17"/>
      <c r="C58" s="3">
        <v>1</v>
      </c>
      <c r="D58" s="7">
        <v>17</v>
      </c>
      <c r="E58" s="52">
        <f t="shared" si="1"/>
        <v>17</v>
      </c>
      <c r="F58" s="11"/>
    </row>
    <row r="59" spans="1:11" x14ac:dyDescent="0.2">
      <c r="A59" s="33" t="s">
        <v>38</v>
      </c>
      <c r="B59" s="17"/>
      <c r="C59" s="3">
        <v>0</v>
      </c>
      <c r="D59" s="7">
        <v>14</v>
      </c>
      <c r="E59" s="52">
        <f t="shared" si="1"/>
        <v>0</v>
      </c>
      <c r="F59" s="11"/>
    </row>
    <row r="60" spans="1:11" x14ac:dyDescent="0.2">
      <c r="A60" s="33" t="s">
        <v>74</v>
      </c>
      <c r="B60" s="17"/>
      <c r="C60" s="3">
        <v>1</v>
      </c>
      <c r="D60" s="7">
        <v>14</v>
      </c>
      <c r="E60" s="52">
        <f t="shared" si="1"/>
        <v>14</v>
      </c>
      <c r="F60" s="11"/>
    </row>
    <row r="61" spans="1:11" x14ac:dyDescent="0.2">
      <c r="A61" s="33" t="s">
        <v>39</v>
      </c>
      <c r="B61" s="17"/>
      <c r="C61" s="3">
        <v>0</v>
      </c>
      <c r="D61" s="7">
        <v>17</v>
      </c>
      <c r="E61" s="52">
        <f t="shared" si="1"/>
        <v>0</v>
      </c>
      <c r="F61" s="11"/>
    </row>
    <row r="62" spans="1:11" x14ac:dyDescent="0.2">
      <c r="A62" s="15" t="s">
        <v>41</v>
      </c>
      <c r="B62" s="17"/>
      <c r="C62" s="3">
        <v>1</v>
      </c>
      <c r="D62" s="7">
        <v>18</v>
      </c>
      <c r="E62" s="52">
        <f t="shared" si="1"/>
        <v>18</v>
      </c>
      <c r="F62" s="11"/>
    </row>
    <row r="63" spans="1:11" x14ac:dyDescent="0.2">
      <c r="A63" s="15" t="s">
        <v>42</v>
      </c>
      <c r="B63" s="15"/>
      <c r="C63" s="3">
        <v>1</v>
      </c>
      <c r="D63" s="7">
        <v>21</v>
      </c>
      <c r="E63" s="52">
        <f t="shared" si="1"/>
        <v>21</v>
      </c>
      <c r="F63" s="11"/>
    </row>
    <row r="64" spans="1:11" ht="14.25" customHeight="1" x14ac:dyDescent="0.2">
      <c r="A64" s="15" t="s">
        <v>43</v>
      </c>
      <c r="B64" s="15"/>
      <c r="C64" s="3">
        <v>0</v>
      </c>
      <c r="D64" s="7">
        <v>10</v>
      </c>
      <c r="E64" s="40">
        <f>C64*D64</f>
        <v>0</v>
      </c>
      <c r="F64" s="11"/>
    </row>
    <row r="65" spans="1:19" ht="13.5" customHeight="1" x14ac:dyDescent="0.2">
      <c r="A65" s="15" t="s">
        <v>73</v>
      </c>
      <c r="B65" s="15"/>
      <c r="C65" s="3">
        <v>0</v>
      </c>
      <c r="D65" s="7">
        <v>12</v>
      </c>
      <c r="E65" s="40">
        <f>C65*D65</f>
        <v>0</v>
      </c>
      <c r="F65" s="11"/>
    </row>
    <row r="66" spans="1:19" ht="12" customHeight="1" x14ac:dyDescent="0.2">
      <c r="A66" s="44" t="s">
        <v>55</v>
      </c>
      <c r="B66" s="15"/>
      <c r="C66" s="45"/>
      <c r="D66" s="15"/>
      <c r="E66" s="6">
        <f>SUM(E56:E65)</f>
        <v>70</v>
      </c>
      <c r="F66" s="11"/>
      <c r="I66" s="205" t="s">
        <v>166</v>
      </c>
      <c r="J66" s="206"/>
      <c r="K66" s="206"/>
      <c r="L66" s="206"/>
      <c r="M66" s="207"/>
    </row>
    <row r="67" spans="1:19" ht="12" customHeight="1" x14ac:dyDescent="0.2">
      <c r="A67" s="55" t="s">
        <v>141</v>
      </c>
      <c r="B67" s="15"/>
      <c r="C67" s="11"/>
      <c r="D67" s="11"/>
      <c r="E67" s="11"/>
      <c r="F67" s="11"/>
      <c r="I67" s="208" t="s">
        <v>158</v>
      </c>
      <c r="J67" s="209"/>
      <c r="K67" s="209"/>
      <c r="L67" s="209"/>
      <c r="M67" s="210"/>
    </row>
    <row r="68" spans="1:19" ht="12.75" customHeight="1" x14ac:dyDescent="0.2">
      <c r="A68" s="15" t="s">
        <v>16</v>
      </c>
      <c r="B68" s="15" t="s">
        <v>1</v>
      </c>
      <c r="C68" s="3">
        <v>1</v>
      </c>
      <c r="D68" s="8">
        <v>35</v>
      </c>
      <c r="E68" s="40">
        <f>C68*D68</f>
        <v>35</v>
      </c>
      <c r="F68" s="11"/>
      <c r="G68" s="201" t="s">
        <v>164</v>
      </c>
      <c r="H68" s="202"/>
      <c r="I68" s="142"/>
      <c r="J68" s="142"/>
      <c r="K68" s="142"/>
      <c r="L68" s="143"/>
      <c r="M68" s="143"/>
    </row>
    <row r="69" spans="1:19" ht="12" customHeight="1" x14ac:dyDescent="0.2">
      <c r="A69" s="33" t="s">
        <v>12</v>
      </c>
      <c r="B69" s="17" t="s">
        <v>1</v>
      </c>
      <c r="C69" s="3">
        <v>10</v>
      </c>
      <c r="D69" s="8">
        <v>0.05</v>
      </c>
      <c r="E69" s="10">
        <f>C69*D69*C78</f>
        <v>65</v>
      </c>
      <c r="F69" s="11"/>
      <c r="G69" s="144" t="s">
        <v>167</v>
      </c>
      <c r="H69" s="149" t="s">
        <v>7</v>
      </c>
      <c r="I69" s="211" t="s">
        <v>166</v>
      </c>
      <c r="J69" s="212"/>
      <c r="K69" s="212"/>
      <c r="L69" s="212"/>
      <c r="M69" s="213"/>
    </row>
    <row r="70" spans="1:19" ht="12.75" customHeight="1" x14ac:dyDescent="0.2">
      <c r="A70" s="33" t="s">
        <v>28</v>
      </c>
      <c r="B70" s="17" t="s">
        <v>1</v>
      </c>
      <c r="C70" s="3">
        <v>1</v>
      </c>
      <c r="D70" s="8">
        <v>0.15</v>
      </c>
      <c r="E70" s="10">
        <f>C70*D70*C78</f>
        <v>19.5</v>
      </c>
      <c r="F70" s="11"/>
      <c r="G70" s="148" t="s">
        <v>161</v>
      </c>
      <c r="H70" s="150">
        <f>C78*1.2</f>
        <v>156</v>
      </c>
      <c r="I70" s="151">
        <f>(I$75*$H70)-$E$75</f>
        <v>-201.63701863354027</v>
      </c>
      <c r="J70" s="151">
        <f>(J$75*H70)-$E$75</f>
        <v>-147.03701863354036</v>
      </c>
      <c r="K70" s="151">
        <f>(K$75*$H70)-E$75</f>
        <v>-92.437018633540333</v>
      </c>
      <c r="L70" s="152">
        <f>(L$75*$H70)-E$75</f>
        <v>-37.837018633540197</v>
      </c>
      <c r="M70" s="152">
        <f>(M$75*H70)-E$75</f>
        <v>16.762981366459712</v>
      </c>
    </row>
    <row r="71" spans="1:19" ht="12.75" customHeight="1" x14ac:dyDescent="0.2">
      <c r="A71" s="161" t="s">
        <v>169</v>
      </c>
      <c r="B71" s="15" t="s">
        <v>1</v>
      </c>
      <c r="C71" s="3">
        <v>0</v>
      </c>
      <c r="D71" s="8">
        <v>30</v>
      </c>
      <c r="E71" s="40">
        <f>+C71*D71</f>
        <v>0</v>
      </c>
      <c r="F71" s="11"/>
      <c r="G71" s="148" t="s">
        <v>160</v>
      </c>
      <c r="H71" s="150">
        <f>C78*1.1</f>
        <v>143</v>
      </c>
      <c r="I71" s="151">
        <f>(I$75*H71)-$E$75</f>
        <v>-238.0370186335403</v>
      </c>
      <c r="J71" s="151">
        <f>(J$75*H71)-$E$75</f>
        <v>-187.98701863354034</v>
      </c>
      <c r="K71" s="151">
        <f>(K$75*$H71)-E$75</f>
        <v>-137.93701863354033</v>
      </c>
      <c r="L71" s="152">
        <f>(L$75*$H71)-E$75</f>
        <v>-87.887018633540265</v>
      </c>
      <c r="M71" s="152">
        <f>(M$75*H71)-E$75</f>
        <v>-37.83701863354031</v>
      </c>
    </row>
    <row r="72" spans="1:19" ht="12.75" customHeight="1" x14ac:dyDescent="0.2">
      <c r="A72" s="68" t="s">
        <v>13</v>
      </c>
      <c r="B72" s="17" t="s">
        <v>1</v>
      </c>
      <c r="C72" s="3">
        <v>1</v>
      </c>
      <c r="D72" s="195">
        <v>100</v>
      </c>
      <c r="E72" s="40">
        <f>+C72*D72</f>
        <v>100</v>
      </c>
      <c r="F72" s="11"/>
      <c r="G72" s="140"/>
      <c r="H72" s="150">
        <f>C78</f>
        <v>130</v>
      </c>
      <c r="I72" s="151">
        <f>(I$75*H72)-$E$75</f>
        <v>-274.43701863354028</v>
      </c>
      <c r="J72" s="151">
        <f>(J$75*H72)-$E$75</f>
        <v>-228.93701863354033</v>
      </c>
      <c r="K72" s="159">
        <f>(K$75*$H72)-E$75</f>
        <v>-183.43701863354033</v>
      </c>
      <c r="L72" s="152">
        <f>(L$75*$H72)-E$75</f>
        <v>-137.93701863354028</v>
      </c>
      <c r="M72" s="152">
        <f>(M$75*H72)-E$75</f>
        <v>-92.437018633540333</v>
      </c>
    </row>
    <row r="73" spans="1:19" ht="12.75" customHeight="1" x14ac:dyDescent="0.2">
      <c r="A73" s="56" t="s">
        <v>100</v>
      </c>
      <c r="B73" s="11"/>
      <c r="C73" s="11"/>
      <c r="D73" s="11"/>
      <c r="E73" s="57">
        <f>0.08*(E53+(0.2*E66))</f>
        <v>26.884223602484472</v>
      </c>
      <c r="F73" s="11"/>
      <c r="G73" s="148" t="s">
        <v>162</v>
      </c>
      <c r="H73" s="150">
        <f>C78*0.9</f>
        <v>117</v>
      </c>
      <c r="I73" s="151">
        <f>(I$75*H73)-$E$75</f>
        <v>-310.83701863354031</v>
      </c>
      <c r="J73" s="151">
        <f>(J$75*H73)-$E$75</f>
        <v>-269.88701863354032</v>
      </c>
      <c r="K73" s="151">
        <f>(K$75*$H73)-E$75</f>
        <v>-228.93701863354033</v>
      </c>
      <c r="L73" s="152">
        <f>(L$75*$H73)-E$75</f>
        <v>-187.98701863354029</v>
      </c>
      <c r="M73" s="152">
        <f>(M$75*H73)-E$75</f>
        <v>-147.0370186335403</v>
      </c>
      <c r="S73" s="97"/>
    </row>
    <row r="74" spans="1:19" ht="12.75" customHeight="1" x14ac:dyDescent="0.2">
      <c r="A74" s="11"/>
      <c r="B74" s="11"/>
      <c r="C74" s="11"/>
      <c r="D74" s="11"/>
      <c r="E74" s="11"/>
      <c r="F74" s="11"/>
      <c r="G74" s="148" t="s">
        <v>163</v>
      </c>
      <c r="H74" s="150">
        <f>C78*0.8</f>
        <v>104</v>
      </c>
      <c r="I74" s="151">
        <f>(I$75*H74)-$E$75</f>
        <v>-347.23701863354029</v>
      </c>
      <c r="J74" s="151">
        <f>(J$75*H74)-$E$75</f>
        <v>-310.83701863354037</v>
      </c>
      <c r="K74" s="151">
        <f>(K$75*$H74)-E$75</f>
        <v>-274.43701863354033</v>
      </c>
      <c r="L74" s="152">
        <f>(L$75*$H74)-E$75</f>
        <v>-238.0370186335403</v>
      </c>
      <c r="M74" s="152">
        <f>(M$75*H74)-E$75</f>
        <v>-201.63701863354032</v>
      </c>
    </row>
    <row r="75" spans="1:19" ht="12.75" customHeight="1" x14ac:dyDescent="0.2">
      <c r="A75" s="11"/>
      <c r="B75" s="11"/>
      <c r="C75" s="11"/>
      <c r="D75" s="58" t="s">
        <v>45</v>
      </c>
      <c r="E75" s="59">
        <f>+E53+E66+E68+E69+E70+E71+E72+E73</f>
        <v>638.43701863354033</v>
      </c>
      <c r="F75" s="11"/>
      <c r="G75" s="203" t="s">
        <v>165</v>
      </c>
      <c r="H75" s="204"/>
      <c r="I75" s="153">
        <f>D78*0.8</f>
        <v>2.8000000000000003</v>
      </c>
      <c r="J75" s="153">
        <f>D78*0.9</f>
        <v>3.15</v>
      </c>
      <c r="K75" s="153">
        <f>D78</f>
        <v>3.5</v>
      </c>
      <c r="L75" s="153">
        <f>D78*1.1</f>
        <v>3.8500000000000005</v>
      </c>
      <c r="M75" s="153">
        <f>D78*1.2</f>
        <v>4.2</v>
      </c>
    </row>
    <row r="76" spans="1:19" ht="12.75" customHeight="1" x14ac:dyDescent="0.2">
      <c r="A76" s="11"/>
      <c r="B76" s="11"/>
      <c r="C76" s="11"/>
      <c r="D76" s="58"/>
      <c r="E76" s="60"/>
      <c r="F76" s="11"/>
      <c r="G76" s="203" t="s">
        <v>159</v>
      </c>
      <c r="H76" s="204"/>
      <c r="I76" s="145" t="s">
        <v>163</v>
      </c>
      <c r="J76" s="145" t="s">
        <v>162</v>
      </c>
      <c r="K76" s="146"/>
      <c r="L76" s="145" t="s">
        <v>160</v>
      </c>
      <c r="M76" s="147" t="s">
        <v>161</v>
      </c>
    </row>
    <row r="77" spans="1:19" ht="12.75" customHeight="1" x14ac:dyDescent="0.2">
      <c r="A77" s="134" t="s">
        <v>62</v>
      </c>
      <c r="B77" s="11"/>
      <c r="C77" s="214" t="s">
        <v>54</v>
      </c>
      <c r="D77" s="215"/>
      <c r="E77" s="216">
        <f>+D78*C78</f>
        <v>455</v>
      </c>
      <c r="F77" s="11"/>
      <c r="I77" s="39"/>
      <c r="J77" s="154"/>
      <c r="K77" s="154"/>
      <c r="L77" s="39"/>
      <c r="M77" s="154"/>
    </row>
    <row r="78" spans="1:19" ht="12.75" customHeight="1" x14ac:dyDescent="0.2">
      <c r="A78" s="37" t="s">
        <v>87</v>
      </c>
      <c r="B78" s="17" t="s">
        <v>7</v>
      </c>
      <c r="C78" s="83">
        <v>130</v>
      </c>
      <c r="D78" s="83">
        <v>3.5</v>
      </c>
      <c r="E78" s="217"/>
      <c r="F78" s="11"/>
      <c r="G78" s="11"/>
      <c r="I78" s="39"/>
      <c r="J78" s="154"/>
      <c r="K78" s="154"/>
      <c r="L78" s="39"/>
      <c r="M78" s="154"/>
    </row>
    <row r="79" spans="1:19" ht="12.75" customHeight="1" x14ac:dyDescent="0.2">
      <c r="A79" s="16"/>
      <c r="B79" s="17"/>
      <c r="C79" s="11"/>
      <c r="D79" s="11"/>
      <c r="E79" s="11"/>
      <c r="F79" s="11"/>
      <c r="I79" s="154"/>
      <c r="J79" s="154"/>
      <c r="K79" s="154"/>
      <c r="L79" s="154"/>
      <c r="M79" s="154"/>
    </row>
    <row r="80" spans="1:19" ht="15" x14ac:dyDescent="0.25">
      <c r="A80" s="11"/>
      <c r="B80" s="11"/>
      <c r="C80" s="199" t="s">
        <v>53</v>
      </c>
      <c r="D80" s="200"/>
      <c r="E80" s="86">
        <f>E77-E75</f>
        <v>-183.43701863354033</v>
      </c>
    </row>
    <row r="81" spans="1:5" x14ac:dyDescent="0.2">
      <c r="A81" s="11"/>
      <c r="B81" s="11"/>
    </row>
    <row r="82" spans="1:5" x14ac:dyDescent="0.2">
      <c r="A82" s="11"/>
      <c r="B82" s="11"/>
      <c r="C82" s="11"/>
      <c r="D82" s="11"/>
      <c r="E82" s="11"/>
    </row>
  </sheetData>
  <sheetProtection password="C7F8" sheet="1" objects="1" scenarios="1"/>
  <mergeCells count="9">
    <mergeCell ref="C80:D80"/>
    <mergeCell ref="G68:H68"/>
    <mergeCell ref="G76:H76"/>
    <mergeCell ref="I66:M66"/>
    <mergeCell ref="I67:M67"/>
    <mergeCell ref="G75:H75"/>
    <mergeCell ref="I69:M69"/>
    <mergeCell ref="C77:D77"/>
    <mergeCell ref="E77:E78"/>
  </mergeCells>
  <phoneticPr fontId="5" type="noConversion"/>
  <printOptions gridLines="1"/>
  <pageMargins left="0" right="0" top="0" bottom="0" header="0.5" footer="0.5"/>
  <pageSetup scale="7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tabSelected="1" topLeftCell="A47" zoomScaleNormal="100" workbookViewId="0">
      <selection activeCell="D81" sqref="D81"/>
    </sheetView>
  </sheetViews>
  <sheetFormatPr defaultRowHeight="12" customHeight="1" x14ac:dyDescent="0.2"/>
  <cols>
    <col min="1" max="1" width="21.28515625" customWidth="1"/>
    <col min="2" max="2" width="13.5703125" customWidth="1"/>
    <col min="3" max="3" width="9.42578125" customWidth="1"/>
    <col min="4" max="4" width="9.28515625" customWidth="1"/>
    <col min="5" max="5" width="9.7109375" customWidth="1"/>
    <col min="6" max="6" width="2.140625" customWidth="1"/>
    <col min="7" max="7" width="13.28515625" customWidth="1"/>
    <col min="8" max="9" width="8.140625" customWidth="1"/>
    <col min="10" max="10" width="8.28515625" customWidth="1"/>
    <col min="11" max="11" width="8.5703125" customWidth="1"/>
    <col min="12" max="13" width="8" customWidth="1"/>
  </cols>
  <sheetData>
    <row r="1" spans="1:16" ht="15.75" customHeight="1" x14ac:dyDescent="0.2">
      <c r="A1" s="128" t="s">
        <v>129</v>
      </c>
      <c r="B1" t="s">
        <v>145</v>
      </c>
    </row>
    <row r="2" spans="1:16" ht="12" customHeight="1" x14ac:dyDescent="0.2">
      <c r="A2" t="s">
        <v>135</v>
      </c>
      <c r="E2" t="s">
        <v>131</v>
      </c>
    </row>
    <row r="4" spans="1:16" ht="12" customHeight="1" x14ac:dyDescent="0.2">
      <c r="A4" t="s">
        <v>206</v>
      </c>
    </row>
    <row r="5" spans="1:16" ht="8.25" customHeight="1" x14ac:dyDescent="0.2"/>
    <row r="6" spans="1:16" ht="23.25" customHeight="1" x14ac:dyDescent="0.25">
      <c r="A6" s="13" t="s">
        <v>56</v>
      </c>
      <c r="B6" s="11"/>
      <c r="C6" s="28" t="str">
        <f>+Corn!D6</f>
        <v xml:space="preserve">Revised </v>
      </c>
      <c r="D6" s="162">
        <f>Corn!E6</f>
        <v>42742</v>
      </c>
      <c r="E6" s="11"/>
      <c r="F6" s="11"/>
      <c r="G6" s="11"/>
      <c r="H6" s="11"/>
      <c r="I6" s="11"/>
      <c r="J6" s="11"/>
      <c r="K6" s="11"/>
    </row>
    <row r="7" spans="1:16" ht="12" customHeight="1" x14ac:dyDescent="0.2">
      <c r="A7" s="11"/>
      <c r="B7" s="11"/>
      <c r="C7" s="11"/>
      <c r="D7" s="11"/>
      <c r="E7" s="11"/>
      <c r="F7" s="11"/>
      <c r="G7" s="11"/>
      <c r="H7" s="11"/>
      <c r="I7" s="11"/>
      <c r="J7" s="11"/>
      <c r="K7" s="11"/>
    </row>
    <row r="8" spans="1:16" ht="12" customHeight="1" x14ac:dyDescent="0.2">
      <c r="A8" s="160" t="s">
        <v>47</v>
      </c>
      <c r="B8" s="11"/>
      <c r="C8" s="2"/>
      <c r="D8" s="11"/>
      <c r="E8" s="11"/>
      <c r="F8" s="11"/>
      <c r="G8" s="11"/>
      <c r="H8" s="11"/>
      <c r="I8" s="11"/>
      <c r="J8" s="11"/>
      <c r="K8" s="11"/>
    </row>
    <row r="9" spans="1:16" ht="12" customHeight="1" x14ac:dyDescent="0.2">
      <c r="A9" s="160" t="s">
        <v>79</v>
      </c>
      <c r="B9" s="11"/>
      <c r="C9" s="9"/>
      <c r="D9" s="11"/>
      <c r="E9" s="11"/>
      <c r="F9" s="11"/>
      <c r="G9" s="11"/>
      <c r="H9" s="11"/>
      <c r="I9" s="11"/>
      <c r="J9" s="11"/>
      <c r="K9" s="11"/>
    </row>
    <row r="10" spans="1:16" ht="12" customHeight="1" x14ac:dyDescent="0.2">
      <c r="A10" s="11"/>
      <c r="B10" s="11"/>
      <c r="C10" s="15"/>
      <c r="D10" s="11"/>
      <c r="E10" s="16"/>
      <c r="F10" s="11"/>
      <c r="G10" s="11"/>
      <c r="H10" s="11"/>
      <c r="I10" s="11"/>
      <c r="J10" s="11"/>
      <c r="K10" s="11"/>
      <c r="M10" s="167"/>
    </row>
    <row r="11" spans="1:16" ht="12" customHeight="1" x14ac:dyDescent="0.2">
      <c r="A11" s="16"/>
      <c r="B11" s="17" t="s">
        <v>2</v>
      </c>
      <c r="C11" s="17" t="s">
        <v>3</v>
      </c>
      <c r="D11" s="17" t="s">
        <v>4</v>
      </c>
      <c r="E11" s="17" t="s">
        <v>5</v>
      </c>
      <c r="F11" s="11"/>
      <c r="G11" s="11"/>
      <c r="H11" s="11"/>
      <c r="I11" s="11"/>
      <c r="J11" s="11"/>
      <c r="K11" s="11"/>
    </row>
    <row r="12" spans="1:16" ht="12" customHeight="1" thickBot="1" x14ac:dyDescent="0.25">
      <c r="A12" s="69"/>
      <c r="B12" s="18"/>
      <c r="C12" s="18"/>
      <c r="D12" s="18" t="s">
        <v>0</v>
      </c>
      <c r="E12" s="18" t="s">
        <v>6</v>
      </c>
      <c r="F12" s="11"/>
      <c r="G12" s="11"/>
      <c r="H12" s="11"/>
      <c r="I12" s="11"/>
      <c r="J12" s="11"/>
      <c r="K12" s="11"/>
    </row>
    <row r="13" spans="1:16" ht="12" customHeight="1" x14ac:dyDescent="0.2">
      <c r="A13" s="11"/>
      <c r="B13" s="11"/>
      <c r="C13" s="11"/>
      <c r="D13" s="11"/>
      <c r="E13" s="11"/>
      <c r="F13" s="11"/>
      <c r="G13" s="11"/>
      <c r="H13" s="11"/>
      <c r="I13" s="11"/>
      <c r="J13" s="11"/>
      <c r="K13" s="11"/>
    </row>
    <row r="14" spans="1:16" ht="12" customHeight="1" x14ac:dyDescent="0.2">
      <c r="A14" s="70" t="s">
        <v>80</v>
      </c>
      <c r="B14" s="17"/>
      <c r="C14" s="17"/>
      <c r="D14" s="17"/>
      <c r="E14" s="17"/>
      <c r="F14" s="11"/>
      <c r="P14" s="97"/>
    </row>
    <row r="15" spans="1:16" ht="12" customHeight="1" x14ac:dyDescent="0.2">
      <c r="A15" s="71" t="s">
        <v>22</v>
      </c>
      <c r="B15" s="17"/>
      <c r="C15" s="21"/>
      <c r="D15" s="21"/>
      <c r="E15" s="21"/>
      <c r="F15" s="11"/>
      <c r="G15" s="19" t="s">
        <v>48</v>
      </c>
      <c r="H15" s="20"/>
      <c r="I15" s="11"/>
      <c r="J15" s="11"/>
      <c r="K15" s="11"/>
    </row>
    <row r="16" spans="1:16" ht="12" customHeight="1" x14ac:dyDescent="0.2">
      <c r="A16" s="72" t="s">
        <v>19</v>
      </c>
      <c r="B16" s="17" t="s">
        <v>49</v>
      </c>
      <c r="C16" s="3">
        <v>0</v>
      </c>
      <c r="D16" s="10">
        <f>H17</f>
        <v>0.22500000000000001</v>
      </c>
      <c r="E16" s="10">
        <f>C16*D16</f>
        <v>0</v>
      </c>
      <c r="F16" s="11"/>
      <c r="G16" s="22" t="s">
        <v>21</v>
      </c>
      <c r="H16" s="66">
        <v>450</v>
      </c>
      <c r="I16" s="11"/>
      <c r="J16" s="11"/>
      <c r="K16" s="11"/>
    </row>
    <row r="17" spans="1:11" ht="12" customHeight="1" x14ac:dyDescent="0.2">
      <c r="A17" s="16"/>
      <c r="B17" s="11"/>
      <c r="C17" s="49"/>
      <c r="D17" s="11"/>
      <c r="E17" s="11"/>
      <c r="F17" s="11"/>
      <c r="G17" s="23" t="s">
        <v>50</v>
      </c>
      <c r="H17" s="24">
        <f>+H16/2000</f>
        <v>0.22500000000000001</v>
      </c>
      <c r="I17" s="11"/>
      <c r="J17" s="11"/>
      <c r="K17" s="11"/>
    </row>
    <row r="18" spans="1:11" ht="12" customHeight="1" x14ac:dyDescent="0.3">
      <c r="A18" s="73" t="s">
        <v>66</v>
      </c>
      <c r="B18" s="17" t="s">
        <v>99</v>
      </c>
      <c r="C18" s="3">
        <v>30</v>
      </c>
      <c r="D18" s="10">
        <f>+H22</f>
        <v>0</v>
      </c>
      <c r="E18" s="10">
        <f>C18*D18</f>
        <v>0</v>
      </c>
      <c r="F18" s="11"/>
      <c r="G18" s="11"/>
      <c r="H18" s="11"/>
      <c r="I18" s="11"/>
      <c r="J18" s="11"/>
      <c r="K18" s="11"/>
    </row>
    <row r="19" spans="1:11" ht="12" customHeight="1" x14ac:dyDescent="0.3">
      <c r="A19" s="74" t="s">
        <v>61</v>
      </c>
      <c r="B19" s="17" t="s">
        <v>99</v>
      </c>
      <c r="C19" s="3">
        <v>0</v>
      </c>
      <c r="D19" s="10">
        <f>+I22</f>
        <v>0.4826086956521739</v>
      </c>
      <c r="E19" s="10">
        <f>C19*D19</f>
        <v>0</v>
      </c>
      <c r="F19" s="11"/>
      <c r="G19" s="25" t="s">
        <v>27</v>
      </c>
      <c r="H19" s="26" t="s">
        <v>20</v>
      </c>
      <c r="I19" s="27" t="s">
        <v>24</v>
      </c>
      <c r="J19" s="11"/>
      <c r="K19" s="11"/>
    </row>
    <row r="20" spans="1:11" ht="12" customHeight="1" x14ac:dyDescent="0.2">
      <c r="A20" s="74"/>
      <c r="B20" s="11"/>
      <c r="C20" s="49"/>
      <c r="D20" s="11"/>
      <c r="E20" s="11"/>
      <c r="F20" s="11"/>
      <c r="G20" s="22" t="s">
        <v>21</v>
      </c>
      <c r="H20" s="67">
        <v>0</v>
      </c>
      <c r="I20" s="5">
        <v>444</v>
      </c>
      <c r="J20" s="11"/>
      <c r="K20" s="11"/>
    </row>
    <row r="21" spans="1:11" ht="12" customHeight="1" x14ac:dyDescent="0.2">
      <c r="A21" s="73" t="s">
        <v>65</v>
      </c>
      <c r="B21" s="17" t="s">
        <v>23</v>
      </c>
      <c r="C21" s="3">
        <v>90</v>
      </c>
      <c r="D21" s="10">
        <f>+H27</f>
        <v>0.27250000000000002</v>
      </c>
      <c r="E21" s="10">
        <f>C21*D21</f>
        <v>24.525000000000002</v>
      </c>
      <c r="F21" s="11"/>
      <c r="G21" s="78" t="s">
        <v>32</v>
      </c>
      <c r="H21" s="29">
        <v>52</v>
      </c>
      <c r="I21" s="30">
        <v>46</v>
      </c>
      <c r="J21" s="11"/>
      <c r="K21" s="11"/>
    </row>
    <row r="22" spans="1:11" ht="12" customHeight="1" x14ac:dyDescent="0.2">
      <c r="A22" s="16"/>
      <c r="B22" s="11"/>
      <c r="C22" s="49"/>
      <c r="D22" s="11"/>
      <c r="E22" s="11"/>
      <c r="F22" s="11"/>
      <c r="G22" s="23" t="s">
        <v>18</v>
      </c>
      <c r="H22" s="31">
        <f>+H20/1040</f>
        <v>0</v>
      </c>
      <c r="I22" s="31">
        <f>+I20/920</f>
        <v>0.4826086956521739</v>
      </c>
      <c r="J22" s="32"/>
      <c r="K22" s="11"/>
    </row>
    <row r="23" spans="1:11" ht="12" customHeight="1" x14ac:dyDescent="0.2">
      <c r="A23" s="95" t="s">
        <v>143</v>
      </c>
      <c r="B23" s="51" t="s">
        <v>104</v>
      </c>
      <c r="C23" s="130">
        <v>0</v>
      </c>
      <c r="D23" s="65">
        <v>28</v>
      </c>
      <c r="E23" s="57">
        <f>+C23*D23</f>
        <v>0</v>
      </c>
      <c r="F23" s="11"/>
      <c r="G23" s="74"/>
      <c r="H23" s="29"/>
      <c r="I23" s="29"/>
      <c r="J23" s="16"/>
      <c r="K23" s="11"/>
    </row>
    <row r="24" spans="1:11" ht="12" customHeight="1" x14ac:dyDescent="0.2">
      <c r="A24" s="16"/>
      <c r="B24" s="11"/>
      <c r="C24" s="49"/>
      <c r="D24" s="11"/>
      <c r="E24" s="11"/>
      <c r="F24" s="11"/>
      <c r="G24" s="19" t="s">
        <v>17</v>
      </c>
      <c r="H24" s="20"/>
      <c r="I24" s="29"/>
      <c r="J24" s="16"/>
      <c r="K24" s="11"/>
    </row>
    <row r="25" spans="1:11" ht="12" customHeight="1" x14ac:dyDescent="0.2">
      <c r="A25" s="71" t="s">
        <v>8</v>
      </c>
      <c r="B25" s="17"/>
      <c r="C25" s="21"/>
      <c r="D25" s="21"/>
      <c r="E25" s="21"/>
      <c r="F25" s="11"/>
      <c r="G25" s="22" t="s">
        <v>21</v>
      </c>
      <c r="H25" s="66">
        <v>327</v>
      </c>
      <c r="I25" s="77"/>
      <c r="J25" s="70"/>
      <c r="K25" s="37"/>
    </row>
    <row r="26" spans="1:11" ht="12" customHeight="1" x14ac:dyDescent="0.2">
      <c r="A26" s="74" t="s">
        <v>101</v>
      </c>
      <c r="B26" s="17" t="s">
        <v>34</v>
      </c>
      <c r="C26" s="2">
        <v>65</v>
      </c>
      <c r="D26" s="38" t="s">
        <v>35</v>
      </c>
      <c r="E26" s="10">
        <f>+C26*C27</f>
        <v>78</v>
      </c>
      <c r="F26" s="11"/>
      <c r="G26" s="78" t="s">
        <v>31</v>
      </c>
      <c r="H26" s="34">
        <v>60</v>
      </c>
      <c r="I26" s="12"/>
      <c r="J26" s="12"/>
      <c r="K26" s="12"/>
    </row>
    <row r="27" spans="1:11" ht="12" customHeight="1" x14ac:dyDescent="0.2">
      <c r="A27" s="74"/>
      <c r="B27" s="28" t="s">
        <v>69</v>
      </c>
      <c r="C27" s="64">
        <v>1.2</v>
      </c>
      <c r="D27" s="21"/>
      <c r="E27" s="21"/>
      <c r="F27" s="11"/>
      <c r="G27" s="23" t="s">
        <v>18</v>
      </c>
      <c r="H27" s="24">
        <f>H25/((H26/100)*2000)</f>
        <v>0.27250000000000002</v>
      </c>
      <c r="I27" s="16"/>
      <c r="J27" s="16"/>
      <c r="K27" s="39"/>
    </row>
    <row r="28" spans="1:11" ht="12" customHeight="1" x14ac:dyDescent="0.2">
      <c r="A28" s="16"/>
      <c r="B28" s="11"/>
      <c r="C28" s="11"/>
      <c r="D28" s="11"/>
      <c r="E28" s="11"/>
      <c r="F28" s="11"/>
      <c r="I28" s="29"/>
      <c r="J28" s="29"/>
      <c r="K28" s="29"/>
    </row>
    <row r="29" spans="1:11" ht="12" customHeight="1" x14ac:dyDescent="0.2">
      <c r="A29" s="71" t="s">
        <v>10</v>
      </c>
      <c r="B29" s="17"/>
      <c r="C29" s="21"/>
      <c r="D29" s="21"/>
      <c r="E29" s="21"/>
      <c r="F29" s="11"/>
      <c r="I29" s="11"/>
      <c r="J29" s="11"/>
      <c r="K29" s="11"/>
    </row>
    <row r="30" spans="1:11" ht="12" customHeight="1" x14ac:dyDescent="0.2">
      <c r="A30" s="33" t="s">
        <v>11</v>
      </c>
      <c r="B30" s="17" t="s">
        <v>1</v>
      </c>
      <c r="C30" s="3">
        <v>0</v>
      </c>
      <c r="D30" s="7">
        <v>1.5</v>
      </c>
      <c r="E30" s="40">
        <f>+D30*C30</f>
        <v>0</v>
      </c>
      <c r="F30" s="11"/>
      <c r="G30" s="11"/>
      <c r="H30" s="11"/>
      <c r="I30" s="11"/>
      <c r="J30" s="11"/>
      <c r="K30" s="11"/>
    </row>
    <row r="31" spans="1:11" ht="12" customHeight="1" x14ac:dyDescent="0.2">
      <c r="A31" s="74" t="s">
        <v>29</v>
      </c>
      <c r="B31" s="17" t="s">
        <v>1</v>
      </c>
      <c r="C31" s="3">
        <v>0</v>
      </c>
      <c r="D31" s="7">
        <v>7</v>
      </c>
      <c r="E31" s="40">
        <f>+D31*C31</f>
        <v>0</v>
      </c>
      <c r="F31" s="11"/>
      <c r="G31" s="41"/>
      <c r="H31" s="42"/>
      <c r="I31" s="11"/>
      <c r="J31" s="11"/>
      <c r="K31" s="11"/>
    </row>
    <row r="32" spans="1:11" ht="12" customHeight="1" x14ac:dyDescent="0.2">
      <c r="A32" s="33" t="s">
        <v>82</v>
      </c>
      <c r="B32" s="17" t="s">
        <v>1</v>
      </c>
      <c r="C32" s="3">
        <v>0</v>
      </c>
      <c r="D32" s="7">
        <v>7</v>
      </c>
      <c r="E32" s="40">
        <f>+D32*C32</f>
        <v>0</v>
      </c>
      <c r="F32" s="11"/>
      <c r="G32" s="11"/>
      <c r="H32" s="11"/>
      <c r="I32" s="11"/>
      <c r="J32" s="11"/>
      <c r="K32" s="11"/>
    </row>
    <row r="33" spans="1:11" ht="12" customHeight="1" x14ac:dyDescent="0.2">
      <c r="A33" s="11"/>
      <c r="B33" s="11"/>
      <c r="C33" s="11"/>
      <c r="D33" s="11"/>
      <c r="E33" s="11"/>
      <c r="F33" s="11"/>
      <c r="G33" s="11"/>
      <c r="H33" s="11"/>
      <c r="I33" s="11"/>
      <c r="J33" s="11"/>
      <c r="K33" s="11"/>
    </row>
    <row r="34" spans="1:11" ht="12" customHeight="1" x14ac:dyDescent="0.2">
      <c r="A34" s="71" t="s">
        <v>14</v>
      </c>
      <c r="B34" s="17"/>
      <c r="C34" s="43"/>
      <c r="D34" s="21"/>
      <c r="E34" s="21"/>
      <c r="F34" s="11"/>
      <c r="G34" s="11"/>
      <c r="H34" s="11"/>
      <c r="I34" s="11"/>
      <c r="J34" s="11"/>
      <c r="K34" s="11"/>
    </row>
    <row r="35" spans="1:11" ht="12" customHeight="1" x14ac:dyDescent="0.2">
      <c r="A35" s="15" t="s">
        <v>72</v>
      </c>
      <c r="B35" s="15" t="s">
        <v>1</v>
      </c>
      <c r="C35" s="3">
        <v>1</v>
      </c>
      <c r="D35" s="7">
        <v>30</v>
      </c>
      <c r="E35" s="40">
        <f>+D35*C35</f>
        <v>30</v>
      </c>
      <c r="F35" s="11"/>
      <c r="G35" s="11"/>
      <c r="H35" s="11"/>
      <c r="I35" s="11"/>
      <c r="J35" s="11"/>
      <c r="K35" s="11"/>
    </row>
    <row r="36" spans="1:11" ht="12" customHeight="1" x14ac:dyDescent="0.2">
      <c r="A36" s="15" t="s">
        <v>15</v>
      </c>
      <c r="B36" s="15" t="s">
        <v>1</v>
      </c>
      <c r="C36" s="3">
        <v>1</v>
      </c>
      <c r="D36" s="7">
        <v>8</v>
      </c>
      <c r="E36" s="40">
        <f>+D36*C36</f>
        <v>8</v>
      </c>
      <c r="F36" s="11"/>
      <c r="G36" s="11"/>
      <c r="H36" s="11"/>
      <c r="I36" s="11"/>
      <c r="J36" s="11"/>
      <c r="K36" s="11"/>
    </row>
    <row r="37" spans="1:11" ht="12" customHeight="1" x14ac:dyDescent="0.2">
      <c r="A37" s="11"/>
      <c r="B37" s="11"/>
      <c r="C37" s="11"/>
      <c r="D37" s="11"/>
      <c r="E37" s="11"/>
      <c r="F37" s="11"/>
      <c r="G37" s="11"/>
      <c r="H37" s="11"/>
      <c r="I37" s="11"/>
      <c r="J37" s="11"/>
      <c r="K37" s="11"/>
    </row>
    <row r="38" spans="1:11" ht="12" customHeight="1" x14ac:dyDescent="0.2">
      <c r="A38" s="54" t="s">
        <v>88</v>
      </c>
      <c r="B38" s="11"/>
      <c r="C38" s="11"/>
      <c r="D38" s="11"/>
      <c r="E38" s="11"/>
      <c r="F38" s="11"/>
      <c r="G38" s="11"/>
      <c r="H38" s="11"/>
      <c r="I38" s="11"/>
      <c r="J38" s="11"/>
      <c r="K38" s="11"/>
    </row>
    <row r="39" spans="1:11" ht="12" customHeight="1" x14ac:dyDescent="0.2">
      <c r="A39" s="17" t="s">
        <v>89</v>
      </c>
      <c r="B39" s="11"/>
      <c r="C39" s="65"/>
      <c r="D39" s="75">
        <v>5</v>
      </c>
      <c r="E39" s="40">
        <f>+D39*C39</f>
        <v>0</v>
      </c>
      <c r="F39" s="11"/>
      <c r="G39" s="11"/>
      <c r="H39" s="11"/>
      <c r="I39" s="11"/>
      <c r="J39" s="11"/>
      <c r="K39" s="11"/>
    </row>
    <row r="40" spans="1:11" ht="12" customHeight="1" x14ac:dyDescent="0.2">
      <c r="A40" s="17" t="s">
        <v>90</v>
      </c>
      <c r="B40" s="11"/>
      <c r="C40" s="65"/>
      <c r="D40" s="75">
        <v>5</v>
      </c>
      <c r="E40" s="40">
        <f>+D40*C40</f>
        <v>0</v>
      </c>
      <c r="F40" s="11"/>
      <c r="G40" s="11"/>
      <c r="H40" s="11"/>
      <c r="I40" s="11"/>
      <c r="J40" s="11"/>
      <c r="K40" s="11"/>
    </row>
    <row r="41" spans="1:11" ht="12" customHeight="1" x14ac:dyDescent="0.2">
      <c r="A41" s="11"/>
      <c r="B41" s="11"/>
      <c r="C41" s="11"/>
      <c r="D41" s="11"/>
      <c r="E41" s="11"/>
      <c r="F41" s="11"/>
      <c r="G41" s="11"/>
      <c r="H41" s="11"/>
      <c r="I41" s="11"/>
      <c r="J41" s="11"/>
      <c r="K41" s="11"/>
    </row>
    <row r="42" spans="1:11" ht="12" customHeight="1" x14ac:dyDescent="0.2">
      <c r="A42" s="71" t="s">
        <v>70</v>
      </c>
      <c r="B42" s="17"/>
      <c r="C42" s="43"/>
      <c r="D42" s="21"/>
      <c r="E42" s="21"/>
      <c r="F42" s="11"/>
      <c r="G42" s="11"/>
      <c r="H42" s="11"/>
      <c r="I42" s="11"/>
      <c r="J42" s="11"/>
      <c r="K42" s="11"/>
    </row>
    <row r="43" spans="1:11" ht="12" customHeight="1" x14ac:dyDescent="0.2">
      <c r="A43" s="15" t="s">
        <v>71</v>
      </c>
      <c r="B43" s="15" t="s">
        <v>1</v>
      </c>
      <c r="C43" s="3">
        <v>0</v>
      </c>
      <c r="D43" s="7">
        <v>12</v>
      </c>
      <c r="E43" s="40">
        <f>+D43*C43</f>
        <v>0</v>
      </c>
      <c r="F43" s="11"/>
      <c r="G43" s="11"/>
      <c r="H43" s="11"/>
      <c r="I43" s="11"/>
      <c r="J43" s="11"/>
      <c r="K43" s="11"/>
    </row>
    <row r="44" spans="1:11" ht="12" customHeight="1" x14ac:dyDescent="0.2">
      <c r="A44" s="15" t="s">
        <v>15</v>
      </c>
      <c r="B44" s="15" t="s">
        <v>1</v>
      </c>
      <c r="C44" s="3">
        <v>0</v>
      </c>
      <c r="D44" s="7">
        <v>7</v>
      </c>
      <c r="E44" s="40">
        <f>+D44*C44</f>
        <v>0</v>
      </c>
      <c r="F44" s="11"/>
      <c r="G44" s="11"/>
      <c r="H44" s="11"/>
      <c r="I44" s="11"/>
      <c r="J44" s="11"/>
      <c r="K44" s="11"/>
    </row>
    <row r="45" spans="1:11" ht="12" customHeight="1" x14ac:dyDescent="0.2">
      <c r="A45" s="44"/>
      <c r="B45" s="15"/>
      <c r="C45" s="45"/>
      <c r="D45" s="46"/>
      <c r="E45" s="47"/>
      <c r="F45" s="11"/>
      <c r="G45" s="11"/>
      <c r="H45" s="11"/>
      <c r="I45" s="11"/>
      <c r="J45" s="11"/>
      <c r="K45" s="11"/>
    </row>
    <row r="46" spans="1:11" ht="12" customHeight="1" x14ac:dyDescent="0.2">
      <c r="A46" s="54" t="s">
        <v>76</v>
      </c>
      <c r="B46" s="15" t="s">
        <v>140</v>
      </c>
      <c r="C46" s="3">
        <v>0</v>
      </c>
      <c r="D46" s="7">
        <v>150</v>
      </c>
      <c r="E46" s="40">
        <f>+D46*C46</f>
        <v>0</v>
      </c>
      <c r="F46" s="11"/>
      <c r="G46" s="11"/>
      <c r="H46" s="11"/>
      <c r="I46" s="11"/>
      <c r="J46" s="11"/>
      <c r="K46" s="11"/>
    </row>
    <row r="47" spans="1:11" ht="12" customHeight="1" x14ac:dyDescent="0.2">
      <c r="B47" s="28" t="s">
        <v>77</v>
      </c>
      <c r="C47" s="116">
        <v>0</v>
      </c>
      <c r="D47" s="75">
        <v>5.5</v>
      </c>
      <c r="E47" s="10">
        <f>+C47*D47</f>
        <v>0</v>
      </c>
      <c r="F47" s="11"/>
      <c r="G47" s="11"/>
      <c r="H47" s="11"/>
      <c r="I47" s="11"/>
      <c r="J47" s="11"/>
      <c r="K47" s="11"/>
    </row>
    <row r="48" spans="1:11" ht="12" customHeight="1" x14ac:dyDescent="0.2">
      <c r="A48" s="11"/>
      <c r="B48" s="11"/>
      <c r="C48" s="11"/>
      <c r="D48" s="39"/>
      <c r="E48" s="11"/>
      <c r="F48" s="11"/>
      <c r="G48" s="11"/>
      <c r="H48" s="11"/>
      <c r="I48" s="11"/>
      <c r="J48" s="11"/>
      <c r="K48" s="11"/>
    </row>
    <row r="49" spans="1:11" ht="12" customHeight="1" x14ac:dyDescent="0.2">
      <c r="A49" s="55" t="s">
        <v>81</v>
      </c>
      <c r="B49" s="15"/>
      <c r="C49" s="45"/>
      <c r="D49" s="46"/>
      <c r="E49" s="6">
        <f>SUM(E16:E47)</f>
        <v>140.52500000000001</v>
      </c>
      <c r="F49" s="11"/>
      <c r="G49" s="11"/>
      <c r="H49" s="11"/>
      <c r="I49" s="11"/>
      <c r="J49" s="11"/>
      <c r="K49" s="11"/>
    </row>
    <row r="50" spans="1:11" ht="12" customHeight="1" x14ac:dyDescent="0.2">
      <c r="A50" s="11"/>
      <c r="B50" s="11"/>
      <c r="C50" s="11" t="s">
        <v>138</v>
      </c>
      <c r="D50" s="11"/>
      <c r="E50" s="11"/>
      <c r="F50" s="11"/>
      <c r="G50" s="11"/>
      <c r="H50" s="11"/>
      <c r="I50" s="11"/>
      <c r="J50" s="11"/>
      <c r="K50" s="11"/>
    </row>
    <row r="51" spans="1:11" ht="12" customHeight="1" x14ac:dyDescent="0.2">
      <c r="A51" s="48" t="s">
        <v>36</v>
      </c>
      <c r="B51" s="11"/>
      <c r="C51" s="131" t="s">
        <v>137</v>
      </c>
      <c r="D51" s="35" t="s">
        <v>75</v>
      </c>
      <c r="E51" s="11" t="s">
        <v>139</v>
      </c>
      <c r="F51" s="11"/>
      <c r="G51" s="11"/>
      <c r="H51" s="11"/>
      <c r="I51" s="11"/>
      <c r="J51" s="11"/>
      <c r="K51" s="11"/>
    </row>
    <row r="52" spans="1:11" ht="12" customHeight="1" x14ac:dyDescent="0.2">
      <c r="A52" s="51" t="s">
        <v>40</v>
      </c>
      <c r="B52" s="17"/>
      <c r="C52" s="3">
        <v>0</v>
      </c>
      <c r="D52" s="7">
        <v>13</v>
      </c>
      <c r="E52" s="52">
        <f>C52*D52</f>
        <v>0</v>
      </c>
      <c r="F52" s="11"/>
      <c r="G52" s="11"/>
      <c r="H52" s="11"/>
      <c r="I52" s="11"/>
      <c r="J52" s="11"/>
      <c r="K52" s="11"/>
    </row>
    <row r="53" spans="1:11" ht="12" customHeight="1" x14ac:dyDescent="0.2">
      <c r="A53" s="33" t="s">
        <v>37</v>
      </c>
      <c r="B53" s="17"/>
      <c r="C53" s="3">
        <v>0</v>
      </c>
      <c r="D53" s="7">
        <v>21</v>
      </c>
      <c r="E53" s="52">
        <f t="shared" ref="E53:E59" si="0">C53*D53</f>
        <v>0</v>
      </c>
      <c r="F53" s="11"/>
      <c r="G53" s="11"/>
      <c r="H53" s="11"/>
      <c r="I53" s="11"/>
      <c r="J53" s="11"/>
      <c r="K53" s="11"/>
    </row>
    <row r="54" spans="1:11" ht="12" customHeight="1" x14ac:dyDescent="0.2">
      <c r="A54" s="33" t="s">
        <v>44</v>
      </c>
      <c r="B54" s="17"/>
      <c r="C54" s="3">
        <v>1</v>
      </c>
      <c r="D54" s="7">
        <v>17</v>
      </c>
      <c r="E54" s="52">
        <f t="shared" si="0"/>
        <v>17</v>
      </c>
      <c r="F54" s="11"/>
      <c r="G54" s="11"/>
      <c r="H54" s="11"/>
      <c r="I54" s="11"/>
      <c r="J54" s="11"/>
      <c r="K54" s="11"/>
    </row>
    <row r="55" spans="1:11" ht="12" customHeight="1" x14ac:dyDescent="0.2">
      <c r="A55" s="33" t="s">
        <v>38</v>
      </c>
      <c r="B55" s="17"/>
      <c r="C55" s="3">
        <v>0</v>
      </c>
      <c r="D55" s="7">
        <v>14</v>
      </c>
      <c r="E55" s="52">
        <f t="shared" si="0"/>
        <v>0</v>
      </c>
      <c r="F55" s="11"/>
      <c r="G55" s="11"/>
      <c r="H55" s="11"/>
      <c r="I55" s="11"/>
      <c r="J55" s="11"/>
      <c r="K55" s="11"/>
    </row>
    <row r="56" spans="1:11" ht="12" customHeight="1" x14ac:dyDescent="0.2">
      <c r="A56" s="33" t="s">
        <v>74</v>
      </c>
      <c r="B56" s="17"/>
      <c r="C56" s="3">
        <v>1</v>
      </c>
      <c r="D56" s="7">
        <v>14</v>
      </c>
      <c r="E56" s="52">
        <f t="shared" si="0"/>
        <v>14</v>
      </c>
      <c r="F56" s="11"/>
      <c r="G56" s="11"/>
      <c r="H56" s="11"/>
      <c r="I56" s="11"/>
      <c r="J56" s="11"/>
      <c r="K56" s="11"/>
    </row>
    <row r="57" spans="1:11" ht="12" customHeight="1" x14ac:dyDescent="0.2">
      <c r="A57" s="33" t="s">
        <v>39</v>
      </c>
      <c r="B57" s="17"/>
      <c r="C57" s="3">
        <v>0</v>
      </c>
      <c r="D57" s="7">
        <v>17</v>
      </c>
      <c r="E57" s="52">
        <f t="shared" si="0"/>
        <v>0</v>
      </c>
      <c r="F57" s="11"/>
      <c r="G57" s="11"/>
      <c r="H57" s="11"/>
      <c r="I57" s="11"/>
      <c r="J57" s="11"/>
      <c r="K57" s="11"/>
    </row>
    <row r="58" spans="1:11" ht="12" customHeight="1" x14ac:dyDescent="0.2">
      <c r="A58" s="15" t="s">
        <v>41</v>
      </c>
      <c r="B58" s="17"/>
      <c r="C58" s="3">
        <v>1</v>
      </c>
      <c r="D58" s="7">
        <v>18</v>
      </c>
      <c r="E58" s="52">
        <f t="shared" si="0"/>
        <v>18</v>
      </c>
      <c r="F58" s="11"/>
      <c r="G58" s="11"/>
      <c r="H58" s="11"/>
      <c r="I58" s="11"/>
      <c r="J58" s="11"/>
      <c r="K58" s="11"/>
    </row>
    <row r="59" spans="1:11" ht="12" customHeight="1" x14ac:dyDescent="0.2">
      <c r="A59" s="15" t="s">
        <v>42</v>
      </c>
      <c r="B59" s="15"/>
      <c r="C59" s="3">
        <v>0</v>
      </c>
      <c r="D59" s="7">
        <v>21</v>
      </c>
      <c r="E59" s="52">
        <f t="shared" si="0"/>
        <v>0</v>
      </c>
      <c r="F59" s="11"/>
      <c r="G59" s="11"/>
      <c r="H59" s="11"/>
      <c r="I59" s="11"/>
      <c r="J59" s="11"/>
      <c r="K59" s="11"/>
    </row>
    <row r="60" spans="1:11" ht="12" customHeight="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ht="12" customHeight="1" x14ac:dyDescent="0.2">
      <c r="A63" s="44" t="s">
        <v>55</v>
      </c>
      <c r="B63" s="15"/>
      <c r="C63" s="45"/>
      <c r="D63" s="15"/>
      <c r="E63" s="6">
        <f>SUM(E52:E61)</f>
        <v>49</v>
      </c>
      <c r="F63" s="11"/>
      <c r="G63" s="11"/>
      <c r="H63" s="11"/>
      <c r="I63" s="11"/>
      <c r="J63" s="11"/>
      <c r="K63" s="11"/>
    </row>
    <row r="64" spans="1:11" ht="12" customHeight="1" x14ac:dyDescent="0.2">
      <c r="A64" s="11"/>
      <c r="B64" s="11"/>
      <c r="C64" s="11"/>
      <c r="D64" s="11"/>
      <c r="E64" s="11"/>
      <c r="F64" s="11"/>
      <c r="G64" s="11"/>
      <c r="H64" s="11"/>
      <c r="I64" s="11"/>
      <c r="J64" s="11"/>
      <c r="K64" s="11"/>
    </row>
    <row r="65" spans="1:18" ht="12" customHeight="1" x14ac:dyDescent="0.2">
      <c r="A65" s="55" t="s">
        <v>52</v>
      </c>
      <c r="B65" s="15"/>
      <c r="C65" s="11"/>
      <c r="D65" s="11"/>
      <c r="E65" s="11"/>
      <c r="F65" s="11"/>
      <c r="G65" s="11"/>
      <c r="H65" s="11"/>
      <c r="I65" s="11"/>
      <c r="J65" s="11"/>
      <c r="K65" s="11"/>
    </row>
    <row r="66" spans="1:18" ht="12.2" customHeight="1" x14ac:dyDescent="0.2">
      <c r="A66" s="15" t="s">
        <v>16</v>
      </c>
      <c r="B66" s="15" t="s">
        <v>1</v>
      </c>
      <c r="C66" s="3">
        <v>1</v>
      </c>
      <c r="D66" s="8">
        <v>35</v>
      </c>
      <c r="E66" s="40">
        <f>C66*D66</f>
        <v>35</v>
      </c>
      <c r="F66" s="11"/>
      <c r="G66" s="11"/>
      <c r="H66" s="11"/>
      <c r="I66" s="219" t="s">
        <v>166</v>
      </c>
      <c r="J66" s="219"/>
      <c r="K66" s="219"/>
      <c r="L66" s="219"/>
      <c r="M66" s="219"/>
    </row>
    <row r="67" spans="1:18" ht="12.2" customHeight="1" x14ac:dyDescent="0.2">
      <c r="A67" s="33" t="s">
        <v>12</v>
      </c>
      <c r="B67" s="17" t="s">
        <v>1</v>
      </c>
      <c r="C67" s="3">
        <v>0</v>
      </c>
      <c r="D67" s="8">
        <v>0.05</v>
      </c>
      <c r="E67" s="10">
        <f>C67*D67*C76</f>
        <v>0</v>
      </c>
      <c r="F67" s="11"/>
      <c r="G67" s="11"/>
      <c r="H67" s="11"/>
      <c r="I67" s="219" t="s">
        <v>158</v>
      </c>
      <c r="J67" s="219"/>
      <c r="K67" s="219"/>
      <c r="L67" s="219"/>
      <c r="M67" s="219"/>
    </row>
    <row r="68" spans="1:18" ht="12.2" customHeight="1" x14ac:dyDescent="0.2">
      <c r="A68" s="33" t="s">
        <v>28</v>
      </c>
      <c r="B68" s="17" t="s">
        <v>1</v>
      </c>
      <c r="C68" s="3">
        <v>1</v>
      </c>
      <c r="D68" s="8">
        <v>0.15</v>
      </c>
      <c r="E68" s="10">
        <f>C68*D68*C76</f>
        <v>6</v>
      </c>
      <c r="F68" s="11"/>
      <c r="G68" s="201" t="s">
        <v>164</v>
      </c>
      <c r="H68" s="202"/>
      <c r="I68" s="142"/>
      <c r="J68" s="142"/>
      <c r="K68" s="142"/>
      <c r="L68" s="143"/>
      <c r="M68" s="143"/>
    </row>
    <row r="69" spans="1:18" ht="12.2" customHeight="1" x14ac:dyDescent="0.2">
      <c r="A69" s="161" t="s">
        <v>169</v>
      </c>
      <c r="B69" s="15" t="s">
        <v>1</v>
      </c>
      <c r="C69" s="3">
        <v>1</v>
      </c>
      <c r="D69" s="8">
        <v>30</v>
      </c>
      <c r="E69" s="40">
        <f>+C69*D69</f>
        <v>30</v>
      </c>
      <c r="F69" s="11"/>
      <c r="G69" s="140" t="s">
        <v>167</v>
      </c>
      <c r="H69" s="141" t="s">
        <v>7</v>
      </c>
      <c r="I69" s="219" t="s">
        <v>166</v>
      </c>
      <c r="J69" s="219"/>
      <c r="K69" s="219"/>
      <c r="L69" s="219"/>
      <c r="M69" s="219"/>
    </row>
    <row r="70" spans="1:18" ht="12.2" customHeight="1" x14ac:dyDescent="0.2">
      <c r="A70" s="68" t="s">
        <v>13</v>
      </c>
      <c r="B70" s="17" t="s">
        <v>1</v>
      </c>
      <c r="C70" s="3">
        <v>1</v>
      </c>
      <c r="D70" s="195">
        <v>100</v>
      </c>
      <c r="E70" s="40">
        <f>+C70*D70</f>
        <v>100</v>
      </c>
      <c r="F70" s="11"/>
      <c r="G70" s="140" t="s">
        <v>161</v>
      </c>
      <c r="H70" s="156">
        <f>C$76*1.2</f>
        <v>48</v>
      </c>
      <c r="I70" s="155">
        <f>(I$75*H70)-E$73</f>
        <v>-7.7509999999999764</v>
      </c>
      <c r="J70" s="151">
        <f>(J$75*H70)-E$73</f>
        <v>37.849000000000046</v>
      </c>
      <c r="K70" s="151">
        <f>(K$75*H70)-E$73</f>
        <v>83.449000000000012</v>
      </c>
      <c r="L70" s="152">
        <f>(L$75*H70)-E$73</f>
        <v>129.04900000000004</v>
      </c>
      <c r="M70" s="152">
        <f>(M$75*H70)-E$73</f>
        <v>174.64900000000006</v>
      </c>
    </row>
    <row r="71" spans="1:18" ht="12.2" customHeight="1" x14ac:dyDescent="0.2">
      <c r="A71" s="56" t="s">
        <v>100</v>
      </c>
      <c r="B71" s="11"/>
      <c r="C71" s="11"/>
      <c r="D71" s="11"/>
      <c r="E71" s="57">
        <f>0.08*(E49+(0.2*E63))</f>
        <v>12.026000000000002</v>
      </c>
      <c r="F71" s="11"/>
      <c r="G71" s="140" t="s">
        <v>160</v>
      </c>
      <c r="H71" s="156">
        <f>C$76*1.1</f>
        <v>44</v>
      </c>
      <c r="I71" s="155">
        <f>(I$75*H71)-E$73</f>
        <v>-38.150999999999954</v>
      </c>
      <c r="J71" s="151">
        <f>(J$75*H71)-E$73</f>
        <v>3.6490000000000578</v>
      </c>
      <c r="K71" s="151">
        <f>(K$75*H71)-E$73</f>
        <v>45.449000000000012</v>
      </c>
      <c r="L71" s="152">
        <f>(L$75*H71)-E$73</f>
        <v>87.24900000000008</v>
      </c>
      <c r="M71" s="152">
        <f>(M$75*H71)-E$73</f>
        <v>129.04900000000004</v>
      </c>
    </row>
    <row r="72" spans="1:18" ht="12.2" customHeight="1" x14ac:dyDescent="0.2">
      <c r="A72" s="11"/>
      <c r="B72" s="11"/>
      <c r="C72" s="11"/>
      <c r="D72" s="11"/>
      <c r="E72" s="11"/>
      <c r="F72" s="11"/>
      <c r="G72" s="140"/>
      <c r="H72" s="156">
        <f>C$76</f>
        <v>40</v>
      </c>
      <c r="I72" s="155">
        <f>(I$75*H72)-E$73</f>
        <v>-68.550999999999988</v>
      </c>
      <c r="J72" s="151">
        <f>(J$75*H72)-E$73</f>
        <v>-30.550999999999988</v>
      </c>
      <c r="K72" s="159">
        <f>(K$75*H72)-E$73</f>
        <v>7.4490000000000123</v>
      </c>
      <c r="L72" s="152">
        <f>(L$75*H72)-E$73</f>
        <v>45.449000000000069</v>
      </c>
      <c r="M72" s="152">
        <f>(M$75*H72)-E$73</f>
        <v>83.449000000000012</v>
      </c>
    </row>
    <row r="73" spans="1:18" ht="12.2" customHeight="1" x14ac:dyDescent="0.2">
      <c r="A73" s="11"/>
      <c r="B73" s="11"/>
      <c r="C73" s="11"/>
      <c r="D73" s="58" t="s">
        <v>45</v>
      </c>
      <c r="E73" s="59">
        <f>+E49+E63+E66+E67+E68+E69+E70+E71</f>
        <v>372.55099999999999</v>
      </c>
      <c r="F73" s="11"/>
      <c r="G73" s="140" t="s">
        <v>162</v>
      </c>
      <c r="H73" s="156">
        <f>C$76*0.9</f>
        <v>36</v>
      </c>
      <c r="I73" s="155">
        <f>(I$75*H73)-E$73</f>
        <v>-98.950999999999965</v>
      </c>
      <c r="J73" s="151">
        <f>(J$75*H73)-E$73</f>
        <v>-64.750999999999976</v>
      </c>
      <c r="K73" s="151">
        <f>(K$75*H73)-E$73</f>
        <v>-30.550999999999988</v>
      </c>
      <c r="L73" s="152">
        <f>(L$75*H73)-E$73</f>
        <v>3.6490000000000578</v>
      </c>
      <c r="M73" s="152">
        <f>(M$75*H73)-E$73</f>
        <v>37.849000000000046</v>
      </c>
    </row>
    <row r="74" spans="1:18" ht="12.2" customHeight="1" x14ac:dyDescent="0.2">
      <c r="A74" s="133" t="s">
        <v>62</v>
      </c>
      <c r="B74" s="11"/>
      <c r="C74" s="11"/>
      <c r="D74" s="58"/>
      <c r="E74" s="60"/>
      <c r="F74" s="11"/>
      <c r="G74" s="140" t="s">
        <v>163</v>
      </c>
      <c r="H74" s="156">
        <f>C$76*0.8</f>
        <v>32</v>
      </c>
      <c r="I74" s="155">
        <f>(I$75*H74)-E$73</f>
        <v>-129.35099999999997</v>
      </c>
      <c r="J74" s="151">
        <f>(J$75*H74)-E$73</f>
        <v>-98.950999999999965</v>
      </c>
      <c r="K74" s="151">
        <f>(K$75*H74)-E$73</f>
        <v>-68.550999999999988</v>
      </c>
      <c r="L74" s="152">
        <f>(L$75*H74)-E$73</f>
        <v>-38.150999999999954</v>
      </c>
      <c r="M74" s="152">
        <f>(M$75*H74)-E$73</f>
        <v>-7.7509999999999764</v>
      </c>
    </row>
    <row r="75" spans="1:18" ht="12.2" customHeight="1" x14ac:dyDescent="0.2">
      <c r="C75" s="84" t="s">
        <v>54</v>
      </c>
      <c r="D75" s="85"/>
      <c r="F75" s="11"/>
      <c r="G75" s="218" t="s">
        <v>165</v>
      </c>
      <c r="H75" s="218"/>
      <c r="I75" s="157">
        <f>$D76*0.8</f>
        <v>7.6000000000000005</v>
      </c>
      <c r="J75" s="157">
        <f>$D76*0.9</f>
        <v>8.5500000000000007</v>
      </c>
      <c r="K75" s="157">
        <f>D76</f>
        <v>9.5</v>
      </c>
      <c r="L75" s="157">
        <f>$D76*1.1</f>
        <v>10.450000000000001</v>
      </c>
      <c r="M75" s="157">
        <f>$D76*1.2</f>
        <v>11.4</v>
      </c>
      <c r="R75" s="1"/>
    </row>
    <row r="76" spans="1:18" ht="12.2" customHeight="1" x14ac:dyDescent="0.2">
      <c r="A76" s="33" t="s">
        <v>57</v>
      </c>
      <c r="B76" s="17" t="s">
        <v>7</v>
      </c>
      <c r="C76" s="2">
        <v>40</v>
      </c>
      <c r="D76" s="2">
        <v>9.5</v>
      </c>
      <c r="E76" s="136">
        <f>+D76*C76</f>
        <v>380</v>
      </c>
      <c r="F76" s="11"/>
      <c r="G76" s="218" t="s">
        <v>159</v>
      </c>
      <c r="H76" s="218"/>
      <c r="I76" s="146" t="s">
        <v>163</v>
      </c>
      <c r="J76" s="146" t="s">
        <v>162</v>
      </c>
      <c r="K76" s="146"/>
      <c r="L76" s="158" t="s">
        <v>160</v>
      </c>
      <c r="M76" s="158" t="s">
        <v>161</v>
      </c>
    </row>
    <row r="77" spans="1:18" ht="12.2" customHeight="1" x14ac:dyDescent="0.2">
      <c r="B77" s="11"/>
      <c r="F77" s="11"/>
    </row>
    <row r="78" spans="1:18" ht="12.2" customHeight="1" x14ac:dyDescent="0.25">
      <c r="A78" s="62"/>
      <c r="B78" s="11"/>
      <c r="C78" s="87" t="s">
        <v>53</v>
      </c>
      <c r="D78" s="88"/>
      <c r="E78" s="86">
        <f>E76-E73</f>
        <v>7.4490000000000123</v>
      </c>
      <c r="F78" s="11"/>
    </row>
    <row r="79" spans="1:18" ht="18" customHeight="1" x14ac:dyDescent="0.2">
      <c r="A79" s="11"/>
      <c r="F79" s="11"/>
      <c r="G79" s="11"/>
      <c r="H79" s="11"/>
      <c r="I79" s="11"/>
      <c r="J79" s="11"/>
      <c r="K79" s="11"/>
    </row>
    <row r="80" spans="1:18" ht="12" customHeight="1" x14ac:dyDescent="0.2">
      <c r="A80" s="11"/>
      <c r="B80" s="11"/>
      <c r="F80" s="11"/>
      <c r="G80" s="11"/>
      <c r="H80" s="11"/>
      <c r="I80" s="11"/>
      <c r="J80" s="11"/>
      <c r="K80" s="11"/>
    </row>
    <row r="81" spans="1:11" ht="12" customHeight="1" x14ac:dyDescent="0.2">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0"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topLeftCell="A49" zoomScale="85" workbookViewId="0">
      <selection activeCell="D83" sqref="D83"/>
    </sheetView>
  </sheetViews>
  <sheetFormatPr defaultRowHeight="12.75" x14ac:dyDescent="0.2"/>
  <cols>
    <col min="1" max="1" width="21.28515625" customWidth="1"/>
    <col min="2" max="2" width="14.85546875" customWidth="1"/>
    <col min="3" max="3" width="9.42578125" customWidth="1"/>
    <col min="4" max="4" width="9" customWidth="1"/>
    <col min="6" max="6" width="2.140625" customWidth="1"/>
    <col min="7" max="7" width="13.28515625" customWidth="1"/>
    <col min="8" max="8" width="6.28515625" customWidth="1"/>
    <col min="9" max="9" width="6" customWidth="1"/>
    <col min="10" max="10" width="7" customWidth="1"/>
    <col min="11" max="11" width="11.42578125" customWidth="1"/>
    <col min="12" max="12" width="7.42578125" customWidth="1"/>
  </cols>
  <sheetData>
    <row r="1" spans="1:11" ht="16.5" customHeight="1" x14ac:dyDescent="0.2">
      <c r="A1" s="128" t="s">
        <v>129</v>
      </c>
      <c r="B1" t="s">
        <v>145</v>
      </c>
    </row>
    <row r="2" spans="1:11" x14ac:dyDescent="0.2">
      <c r="A2" t="s">
        <v>134</v>
      </c>
      <c r="E2" t="s">
        <v>131</v>
      </c>
    </row>
    <row r="4" spans="1:11" x14ac:dyDescent="0.2">
      <c r="A4" t="s">
        <v>207</v>
      </c>
    </row>
    <row r="6" spans="1:11" ht="18.75" customHeight="1" x14ac:dyDescent="0.25">
      <c r="A6" s="13" t="s">
        <v>58</v>
      </c>
      <c r="B6" s="11"/>
      <c r="C6" s="11" t="str">
        <f>+Corn!D6</f>
        <v xml:space="preserve">Revised </v>
      </c>
      <c r="D6" s="198">
        <f>Corn!E6</f>
        <v>42742</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60" t="s">
        <v>47</v>
      </c>
      <c r="B8" s="11"/>
      <c r="C8" s="14"/>
      <c r="D8" s="11"/>
      <c r="E8" s="11"/>
      <c r="F8" s="11"/>
      <c r="G8" s="11"/>
      <c r="H8" s="11"/>
      <c r="I8" s="11"/>
      <c r="J8" s="11"/>
      <c r="K8" s="11"/>
    </row>
    <row r="9" spans="1:11" x14ac:dyDescent="0.2">
      <c r="A9" s="160" t="s">
        <v>79</v>
      </c>
      <c r="B9" s="11"/>
      <c r="C9" s="61"/>
      <c r="D9" s="11"/>
      <c r="E9" s="11"/>
      <c r="F9" s="11"/>
      <c r="G9" s="11"/>
      <c r="H9" s="11"/>
      <c r="I9" s="11"/>
      <c r="J9" s="11"/>
      <c r="K9" s="11"/>
    </row>
    <row r="10" spans="1:11" x14ac:dyDescent="0.2">
      <c r="A10" s="11"/>
      <c r="B10" s="11"/>
      <c r="C10" s="15"/>
      <c r="D10" s="11"/>
      <c r="E10" s="16"/>
      <c r="F10" s="11"/>
      <c r="G10" s="11"/>
      <c r="H10" s="11"/>
      <c r="I10" s="11"/>
      <c r="J10" s="11"/>
      <c r="K10" s="11"/>
    </row>
    <row r="11" spans="1:11" ht="13.5" thickBot="1" x14ac:dyDescent="0.25">
      <c r="A11" s="16"/>
      <c r="B11" s="18" t="s">
        <v>2</v>
      </c>
      <c r="C11" s="18" t="s">
        <v>3</v>
      </c>
      <c r="D11" s="18" t="s">
        <v>4</v>
      </c>
      <c r="E11" s="18" t="s">
        <v>5</v>
      </c>
      <c r="F11" s="11"/>
      <c r="G11" s="11"/>
      <c r="H11" s="11"/>
      <c r="I11" s="11"/>
      <c r="J11" s="11"/>
      <c r="K11" s="11"/>
    </row>
    <row r="12" spans="1:11" ht="12.75" customHeight="1" x14ac:dyDescent="0.2">
      <c r="A12" s="11"/>
      <c r="B12" s="11"/>
      <c r="C12" s="11"/>
      <c r="D12" s="11"/>
      <c r="E12" s="11"/>
      <c r="F12" s="11"/>
      <c r="G12" s="11"/>
      <c r="H12" s="11"/>
      <c r="I12" s="11"/>
      <c r="J12" s="11"/>
      <c r="K12" s="11"/>
    </row>
    <row r="13" spans="1:11" x14ac:dyDescent="0.2">
      <c r="A13" s="70" t="s">
        <v>80</v>
      </c>
      <c r="B13" s="17"/>
      <c r="C13" s="17"/>
      <c r="D13" s="33" t="s">
        <v>0</v>
      </c>
      <c r="E13" s="33" t="s">
        <v>6</v>
      </c>
      <c r="F13" s="11"/>
    </row>
    <row r="14" spans="1:11" ht="15" customHeight="1" x14ac:dyDescent="0.2">
      <c r="A14" s="71" t="s">
        <v>22</v>
      </c>
      <c r="B14" s="17"/>
      <c r="C14" s="21"/>
      <c r="D14" s="21"/>
      <c r="E14" s="21"/>
      <c r="F14" s="11"/>
      <c r="G14" s="19" t="s">
        <v>48</v>
      </c>
      <c r="H14" s="20"/>
      <c r="I14" s="11"/>
      <c r="J14" s="11"/>
      <c r="K14" s="11"/>
    </row>
    <row r="15" spans="1:11" x14ac:dyDescent="0.2">
      <c r="A15" s="72" t="s">
        <v>19</v>
      </c>
      <c r="B15" s="17" t="s">
        <v>49</v>
      </c>
      <c r="C15" s="3">
        <v>0</v>
      </c>
      <c r="D15" s="10">
        <f>H16</f>
        <v>0.20250000000000001</v>
      </c>
      <c r="E15" s="10">
        <f>C15*D15</f>
        <v>0</v>
      </c>
      <c r="F15" s="11"/>
      <c r="G15" s="22" t="s">
        <v>21</v>
      </c>
      <c r="H15" s="66">
        <v>405</v>
      </c>
      <c r="I15" s="11"/>
      <c r="J15" s="11"/>
      <c r="K15" s="11"/>
    </row>
    <row r="16" spans="1:11" ht="13.5" customHeight="1" x14ac:dyDescent="0.2">
      <c r="A16" s="16"/>
      <c r="B16" s="11"/>
      <c r="C16" s="49"/>
      <c r="D16" s="11"/>
      <c r="E16" s="11"/>
      <c r="F16" s="11"/>
      <c r="G16" s="23" t="s">
        <v>50</v>
      </c>
      <c r="H16" s="24">
        <f>+H15/2000</f>
        <v>0.20250000000000001</v>
      </c>
      <c r="I16" s="11"/>
      <c r="J16" s="11"/>
      <c r="K16" s="11"/>
    </row>
    <row r="17" spans="1:12" ht="13.5" customHeight="1" x14ac:dyDescent="0.3">
      <c r="A17" s="73" t="s">
        <v>66</v>
      </c>
      <c r="B17" s="33" t="s">
        <v>94</v>
      </c>
      <c r="C17" s="3">
        <v>0</v>
      </c>
      <c r="D17" s="10">
        <f>+H21</f>
        <v>0</v>
      </c>
      <c r="E17" s="10">
        <f>C17*D17</f>
        <v>0</v>
      </c>
      <c r="F17" s="11"/>
      <c r="G17" s="11"/>
      <c r="H17" s="11"/>
      <c r="I17" s="11"/>
      <c r="J17" s="11"/>
      <c r="K17" s="11"/>
    </row>
    <row r="18" spans="1:12" ht="12.75" customHeight="1" x14ac:dyDescent="0.3">
      <c r="A18" s="74" t="s">
        <v>61</v>
      </c>
      <c r="B18" s="33" t="s">
        <v>94</v>
      </c>
      <c r="C18" s="3">
        <v>0</v>
      </c>
      <c r="D18" s="10">
        <f>+I21</f>
        <v>0.51086956521739135</v>
      </c>
      <c r="E18" s="10">
        <f>C18*D18</f>
        <v>0</v>
      </c>
      <c r="F18" s="11"/>
      <c r="G18" s="25" t="s">
        <v>27</v>
      </c>
      <c r="H18" s="26" t="s">
        <v>20</v>
      </c>
      <c r="I18" s="27" t="s">
        <v>24</v>
      </c>
      <c r="J18" s="11"/>
      <c r="K18" s="11"/>
    </row>
    <row r="19" spans="1:12" x14ac:dyDescent="0.2">
      <c r="A19" s="74"/>
      <c r="B19" s="11"/>
      <c r="C19" s="49"/>
      <c r="D19" s="11"/>
      <c r="E19" s="11"/>
      <c r="F19" s="11"/>
      <c r="G19" s="22" t="s">
        <v>21</v>
      </c>
      <c r="H19" s="67">
        <v>0</v>
      </c>
      <c r="I19" s="5">
        <v>470</v>
      </c>
      <c r="J19" s="11"/>
      <c r="K19" s="11"/>
    </row>
    <row r="20" spans="1:12" ht="14.25" customHeight="1" x14ac:dyDescent="0.3">
      <c r="A20" s="73" t="s">
        <v>65</v>
      </c>
      <c r="B20" s="17" t="s">
        <v>95</v>
      </c>
      <c r="C20" s="3">
        <v>100</v>
      </c>
      <c r="D20" s="10">
        <f>+H26</f>
        <v>0.28333333333333333</v>
      </c>
      <c r="E20" s="10">
        <f>C20*D20</f>
        <v>28.333333333333332</v>
      </c>
      <c r="F20" s="11"/>
      <c r="G20" s="22" t="s">
        <v>32</v>
      </c>
      <c r="H20" s="29">
        <v>52</v>
      </c>
      <c r="I20" s="30">
        <v>46</v>
      </c>
      <c r="J20" s="11"/>
      <c r="K20" s="11"/>
    </row>
    <row r="21" spans="1:12" x14ac:dyDescent="0.2">
      <c r="A21" s="16"/>
      <c r="B21" s="11"/>
      <c r="C21" s="49"/>
      <c r="D21" s="11"/>
      <c r="E21" s="11"/>
      <c r="F21" s="11"/>
      <c r="G21" s="23" t="s">
        <v>18</v>
      </c>
      <c r="H21" s="31">
        <f>+H19/1040</f>
        <v>0</v>
      </c>
      <c r="I21" s="31">
        <f>I19/((I20/100)*2000)</f>
        <v>0.51086956521739135</v>
      </c>
      <c r="J21" s="32"/>
      <c r="K21" s="11"/>
    </row>
    <row r="22" spans="1:12" x14ac:dyDescent="0.2">
      <c r="A22" s="16" t="s">
        <v>67</v>
      </c>
      <c r="B22" s="11"/>
      <c r="C22" s="49"/>
      <c r="D22" s="11"/>
      <c r="E22" s="11"/>
      <c r="F22" s="11"/>
      <c r="G22" s="11"/>
      <c r="H22" s="11"/>
      <c r="I22" s="11"/>
      <c r="J22" s="16"/>
      <c r="K22" s="11"/>
    </row>
    <row r="23" spans="1:12" x14ac:dyDescent="0.2">
      <c r="A23" s="16" t="s">
        <v>83</v>
      </c>
      <c r="B23" s="33" t="s">
        <v>96</v>
      </c>
      <c r="C23" s="3">
        <v>100</v>
      </c>
      <c r="D23" s="10">
        <f>+H32</f>
        <v>0.40760869565217389</v>
      </c>
      <c r="E23" s="10">
        <f>D23*C23</f>
        <v>40.760869565217391</v>
      </c>
      <c r="F23" s="11"/>
      <c r="G23" s="19" t="s">
        <v>17</v>
      </c>
      <c r="H23" s="20"/>
      <c r="I23" s="76"/>
      <c r="J23" s="16"/>
      <c r="K23" s="11"/>
    </row>
    <row r="24" spans="1:12" x14ac:dyDescent="0.2">
      <c r="A24" s="81" t="s">
        <v>97</v>
      </c>
      <c r="B24" s="33" t="s">
        <v>96</v>
      </c>
      <c r="C24" s="3"/>
      <c r="D24" s="10">
        <f>I32</f>
        <v>0</v>
      </c>
      <c r="E24" s="10">
        <f>D24*C24</f>
        <v>0</v>
      </c>
      <c r="F24" s="11"/>
      <c r="G24" s="22" t="s">
        <v>21</v>
      </c>
      <c r="H24" s="66">
        <v>340</v>
      </c>
      <c r="I24" s="32"/>
      <c r="J24" s="11"/>
      <c r="K24" s="11"/>
    </row>
    <row r="25" spans="1:12" s="127" customFormat="1" ht="12.75" customHeight="1" x14ac:dyDescent="0.2">
      <c r="A25" s="120" t="s">
        <v>98</v>
      </c>
      <c r="B25" s="121" t="s">
        <v>96</v>
      </c>
      <c r="C25" s="122"/>
      <c r="D25" s="123">
        <f>J32</f>
        <v>0</v>
      </c>
      <c r="E25" s="123">
        <f>D25*C25</f>
        <v>0</v>
      </c>
      <c r="F25" s="124"/>
      <c r="G25" s="78" t="s">
        <v>31</v>
      </c>
      <c r="H25" s="125">
        <v>60</v>
      </c>
      <c r="I25" s="126"/>
      <c r="J25" s="124"/>
      <c r="K25" s="124"/>
    </row>
    <row r="26" spans="1:12" x14ac:dyDescent="0.2">
      <c r="A26" s="16" t="s">
        <v>84</v>
      </c>
      <c r="B26" s="33" t="s">
        <v>96</v>
      </c>
      <c r="C26" s="3"/>
      <c r="D26" s="10">
        <f>+K32</f>
        <v>0</v>
      </c>
      <c r="E26" s="10">
        <f>D26*C26</f>
        <v>0</v>
      </c>
      <c r="F26" s="11"/>
      <c r="G26" s="23" t="s">
        <v>18</v>
      </c>
      <c r="H26" s="24">
        <f>H24/((H25/100)*2000)</f>
        <v>0.28333333333333333</v>
      </c>
      <c r="I26" s="32"/>
      <c r="J26" s="11"/>
      <c r="K26" s="11"/>
    </row>
    <row r="27" spans="1:12" x14ac:dyDescent="0.2">
      <c r="A27" s="16" t="s">
        <v>85</v>
      </c>
      <c r="B27" s="33" t="s">
        <v>96</v>
      </c>
      <c r="C27" s="3"/>
      <c r="D27" s="10">
        <f>+L32</f>
        <v>0</v>
      </c>
      <c r="E27" s="10">
        <f>D27*C27</f>
        <v>0</v>
      </c>
      <c r="F27" s="11"/>
      <c r="G27" s="74"/>
      <c r="H27" s="29"/>
      <c r="I27" s="16"/>
      <c r="J27" s="11"/>
      <c r="K27" s="11"/>
    </row>
    <row r="28" spans="1:12" x14ac:dyDescent="0.2">
      <c r="A28" s="16"/>
      <c r="B28" s="33"/>
      <c r="C28" s="11"/>
      <c r="D28" s="11"/>
      <c r="E28" s="11"/>
      <c r="F28" s="11"/>
      <c r="G28" s="11"/>
      <c r="H28" s="11"/>
      <c r="I28" s="11"/>
      <c r="J28" s="11"/>
      <c r="K28" s="35"/>
      <c r="L28" s="1"/>
    </row>
    <row r="29" spans="1:12" x14ac:dyDescent="0.2">
      <c r="A29" s="71" t="s">
        <v>8</v>
      </c>
      <c r="B29" s="17"/>
      <c r="C29" s="21"/>
      <c r="D29" s="21"/>
      <c r="E29" s="21"/>
      <c r="F29" s="11"/>
      <c r="G29" s="25" t="s">
        <v>30</v>
      </c>
      <c r="H29" s="26" t="s">
        <v>25</v>
      </c>
      <c r="I29" s="36">
        <v>0.28000000000000003</v>
      </c>
      <c r="J29" s="36">
        <v>0.32</v>
      </c>
      <c r="K29" s="70" t="s">
        <v>26</v>
      </c>
      <c r="L29" s="79" t="s">
        <v>68</v>
      </c>
    </row>
    <row r="30" spans="1:12" x14ac:dyDescent="0.2">
      <c r="A30" s="74" t="s">
        <v>64</v>
      </c>
      <c r="B30" s="17" t="s">
        <v>34</v>
      </c>
      <c r="C30" s="2">
        <v>30</v>
      </c>
      <c r="D30" s="38" t="s">
        <v>35</v>
      </c>
      <c r="E30" s="10">
        <f>+C30*C31</f>
        <v>42</v>
      </c>
      <c r="F30" s="11"/>
      <c r="G30" s="22" t="s">
        <v>21</v>
      </c>
      <c r="H30" s="67">
        <v>375</v>
      </c>
      <c r="I30" s="67">
        <v>0</v>
      </c>
      <c r="J30" s="67">
        <v>0</v>
      </c>
      <c r="K30" s="67">
        <v>0</v>
      </c>
      <c r="L30" s="66">
        <v>0</v>
      </c>
    </row>
    <row r="31" spans="1:12" x14ac:dyDescent="0.2">
      <c r="A31" s="74"/>
      <c r="B31" s="28" t="s">
        <v>69</v>
      </c>
      <c r="C31" s="64">
        <v>1.4</v>
      </c>
      <c r="D31" s="21"/>
      <c r="E31" s="21"/>
      <c r="F31" s="11"/>
      <c r="G31" s="22" t="s">
        <v>33</v>
      </c>
      <c r="H31" s="16">
        <v>46</v>
      </c>
      <c r="I31" s="16">
        <v>28</v>
      </c>
      <c r="J31" s="16">
        <v>32</v>
      </c>
      <c r="K31" s="16">
        <v>82</v>
      </c>
      <c r="L31" s="80">
        <v>21</v>
      </c>
    </row>
    <row r="32" spans="1:12" x14ac:dyDescent="0.2">
      <c r="A32" s="16"/>
      <c r="B32" s="11"/>
      <c r="C32" s="11"/>
      <c r="D32" s="11"/>
      <c r="E32" s="11"/>
      <c r="F32" s="11"/>
      <c r="G32" s="23" t="s">
        <v>93</v>
      </c>
      <c r="H32" s="31">
        <f>H30/((H31/100)*2000)</f>
        <v>0.40760869565217389</v>
      </c>
      <c r="I32" s="31">
        <f>I30/((I31/100)*2000)</f>
        <v>0</v>
      </c>
      <c r="J32" s="31">
        <f>J30/((J31/100)*2000)</f>
        <v>0</v>
      </c>
      <c r="K32" s="31">
        <f>K30/((K31/100)*2000)</f>
        <v>0</v>
      </c>
      <c r="L32" s="24">
        <f>L30/((L31/100)*2000)</f>
        <v>0</v>
      </c>
    </row>
    <row r="33" spans="1:12" x14ac:dyDescent="0.2">
      <c r="A33" s="71" t="s">
        <v>10</v>
      </c>
      <c r="B33" s="17"/>
      <c r="C33" s="21"/>
      <c r="D33" s="21"/>
      <c r="E33" s="21"/>
      <c r="F33" s="11"/>
      <c r="G33" s="11"/>
      <c r="H33" s="11"/>
      <c r="I33" s="11"/>
      <c r="J33" s="11"/>
      <c r="K33" s="11"/>
      <c r="L33" s="1"/>
    </row>
    <row r="34" spans="1:12" x14ac:dyDescent="0.2">
      <c r="A34" s="33" t="s">
        <v>11</v>
      </c>
      <c r="B34" s="17" t="s">
        <v>1</v>
      </c>
      <c r="C34" s="3">
        <v>0</v>
      </c>
      <c r="D34" s="7">
        <v>1.5</v>
      </c>
      <c r="E34" s="40">
        <f>+D34*C34</f>
        <v>0</v>
      </c>
      <c r="F34" s="11"/>
      <c r="G34" s="11"/>
      <c r="H34" s="11"/>
      <c r="I34" s="11"/>
      <c r="J34" s="11"/>
      <c r="K34" s="11"/>
    </row>
    <row r="35" spans="1:12" x14ac:dyDescent="0.2">
      <c r="A35" s="74" t="s">
        <v>29</v>
      </c>
      <c r="B35" s="17" t="s">
        <v>1</v>
      </c>
      <c r="C35" s="3">
        <v>0</v>
      </c>
      <c r="D35" s="7">
        <v>7</v>
      </c>
      <c r="E35" s="40">
        <f>+D35*C35</f>
        <v>0</v>
      </c>
      <c r="F35" s="11"/>
      <c r="G35" s="41"/>
      <c r="H35" s="42"/>
      <c r="I35" s="11"/>
      <c r="J35" s="11"/>
      <c r="K35" s="11"/>
    </row>
    <row r="36" spans="1:12" x14ac:dyDescent="0.2">
      <c r="A36" s="33" t="s">
        <v>82</v>
      </c>
      <c r="B36" s="17" t="s">
        <v>1</v>
      </c>
      <c r="C36" s="3">
        <v>0</v>
      </c>
      <c r="D36" s="7">
        <v>7</v>
      </c>
      <c r="E36" s="40">
        <f>+D36*C36</f>
        <v>0</v>
      </c>
      <c r="F36" s="11"/>
      <c r="G36" s="11"/>
      <c r="H36" s="11"/>
      <c r="I36" s="11"/>
      <c r="J36" s="11"/>
      <c r="K36" s="11"/>
    </row>
    <row r="37" spans="1:12" x14ac:dyDescent="0.2">
      <c r="A37" s="11"/>
      <c r="B37" s="11"/>
      <c r="C37" s="11"/>
      <c r="D37" s="11"/>
      <c r="E37" s="11"/>
      <c r="F37" s="11"/>
      <c r="G37" s="11"/>
      <c r="H37" s="11"/>
      <c r="I37" s="11"/>
      <c r="J37" s="11"/>
      <c r="K37" s="11"/>
    </row>
    <row r="38" spans="1:12" ht="13.5" customHeight="1" x14ac:dyDescent="0.2">
      <c r="A38" s="71" t="s">
        <v>14</v>
      </c>
      <c r="B38" s="17"/>
      <c r="C38" s="43"/>
      <c r="D38" s="21"/>
      <c r="E38" s="21"/>
      <c r="F38" s="11"/>
      <c r="G38" s="11"/>
      <c r="H38" s="11"/>
      <c r="I38" s="11"/>
      <c r="J38" s="11"/>
      <c r="K38" s="11"/>
    </row>
    <row r="39" spans="1:12" x14ac:dyDescent="0.2">
      <c r="A39" s="15" t="s">
        <v>72</v>
      </c>
      <c r="B39" s="15" t="s">
        <v>1</v>
      </c>
      <c r="C39" s="3">
        <v>1</v>
      </c>
      <c r="D39" s="7">
        <v>10</v>
      </c>
      <c r="E39" s="40">
        <f>+D39*C39</f>
        <v>10</v>
      </c>
      <c r="F39" s="11"/>
      <c r="G39" s="11"/>
      <c r="H39" s="11"/>
      <c r="I39" s="11"/>
      <c r="J39" s="11"/>
      <c r="K39" s="11"/>
    </row>
    <row r="40" spans="1:12" x14ac:dyDescent="0.2">
      <c r="A40" s="15" t="s">
        <v>15</v>
      </c>
      <c r="B40" s="15" t="s">
        <v>1</v>
      </c>
      <c r="C40" s="3">
        <v>1</v>
      </c>
      <c r="D40" s="7">
        <v>8</v>
      </c>
      <c r="E40" s="40">
        <f>+D40*C40</f>
        <v>8</v>
      </c>
      <c r="F40" s="11"/>
      <c r="G40" s="11"/>
      <c r="H40" s="11"/>
      <c r="I40" s="11"/>
      <c r="J40" s="11"/>
      <c r="K40" s="11"/>
    </row>
    <row r="41" spans="1:12" x14ac:dyDescent="0.2">
      <c r="A41" s="11"/>
      <c r="B41" s="11"/>
      <c r="C41" s="11"/>
      <c r="D41" s="11"/>
      <c r="E41" s="11"/>
      <c r="F41" s="11"/>
      <c r="G41" s="11"/>
      <c r="H41" s="11"/>
      <c r="I41" s="11"/>
      <c r="J41" s="11"/>
      <c r="K41" s="11"/>
    </row>
    <row r="42" spans="1:12" x14ac:dyDescent="0.2">
      <c r="A42" s="71" t="s">
        <v>70</v>
      </c>
      <c r="B42" s="17"/>
      <c r="C42" s="43"/>
      <c r="D42" s="21"/>
      <c r="E42" s="21"/>
      <c r="F42" s="11"/>
      <c r="G42" s="11"/>
      <c r="H42" s="11"/>
      <c r="I42" s="11"/>
      <c r="J42" s="11"/>
      <c r="K42" s="11"/>
    </row>
    <row r="43" spans="1:12" x14ac:dyDescent="0.2">
      <c r="A43" s="15" t="s">
        <v>71</v>
      </c>
      <c r="B43" s="15" t="s">
        <v>1</v>
      </c>
      <c r="C43" s="3">
        <v>0</v>
      </c>
      <c r="D43" s="7">
        <v>12</v>
      </c>
      <c r="E43" s="40">
        <f>+D43*C43</f>
        <v>0</v>
      </c>
      <c r="F43" s="11"/>
      <c r="G43" s="11"/>
      <c r="H43" s="11"/>
      <c r="I43" s="11"/>
      <c r="J43" s="11"/>
      <c r="K43" s="11"/>
    </row>
    <row r="44" spans="1:12" x14ac:dyDescent="0.2">
      <c r="A44" s="15" t="s">
        <v>15</v>
      </c>
      <c r="B44" s="15" t="s">
        <v>1</v>
      </c>
      <c r="C44" s="3">
        <v>0</v>
      </c>
      <c r="D44" s="7">
        <v>5</v>
      </c>
      <c r="E44" s="40">
        <f>+D44*C44</f>
        <v>0</v>
      </c>
      <c r="F44" s="11"/>
      <c r="G44" s="11"/>
      <c r="H44" s="11"/>
      <c r="I44" s="11"/>
      <c r="J44" s="11"/>
      <c r="K44" s="11"/>
    </row>
    <row r="45" spans="1:12" x14ac:dyDescent="0.2">
      <c r="A45" s="44"/>
      <c r="B45" s="15"/>
      <c r="C45" s="45"/>
      <c r="D45" s="46"/>
      <c r="E45" s="47"/>
      <c r="F45" s="11"/>
      <c r="G45" s="11"/>
      <c r="H45" s="11"/>
      <c r="I45" s="11"/>
      <c r="J45" s="11"/>
      <c r="K45" s="11"/>
    </row>
    <row r="46" spans="1:12" x14ac:dyDescent="0.2">
      <c r="A46" s="54" t="s">
        <v>76</v>
      </c>
      <c r="B46" s="15" t="s">
        <v>140</v>
      </c>
      <c r="C46" s="3">
        <v>0</v>
      </c>
      <c r="D46" s="7">
        <v>150</v>
      </c>
      <c r="E46" s="40">
        <f>+D46*C46</f>
        <v>0</v>
      </c>
      <c r="F46" s="11"/>
      <c r="G46" s="11"/>
      <c r="H46" s="11"/>
      <c r="I46" s="11"/>
      <c r="J46" s="11"/>
      <c r="K46" s="11"/>
    </row>
    <row r="47" spans="1:12" x14ac:dyDescent="0.2">
      <c r="B47" s="28" t="s">
        <v>77</v>
      </c>
      <c r="C47" s="116">
        <v>0</v>
      </c>
      <c r="D47" s="75">
        <v>5.5</v>
      </c>
      <c r="E47" s="10">
        <f>+C47*D47</f>
        <v>0</v>
      </c>
      <c r="F47" s="11"/>
      <c r="G47" s="11"/>
      <c r="H47" s="11"/>
      <c r="I47" s="11"/>
      <c r="J47" s="11"/>
      <c r="K47" s="11"/>
    </row>
    <row r="48" spans="1:12" x14ac:dyDescent="0.2">
      <c r="A48" s="11"/>
      <c r="B48" s="11"/>
      <c r="C48" s="11"/>
      <c r="D48" s="12"/>
      <c r="E48" s="11"/>
      <c r="F48" s="11"/>
      <c r="G48" s="11"/>
      <c r="H48" s="11"/>
      <c r="I48" s="11"/>
      <c r="J48" s="11"/>
      <c r="K48" s="11"/>
    </row>
    <row r="49" spans="1:11" x14ac:dyDescent="0.2">
      <c r="A49" s="55" t="s">
        <v>81</v>
      </c>
      <c r="B49" s="15"/>
      <c r="C49" s="45"/>
      <c r="D49" s="46"/>
      <c r="E49" s="6">
        <f>SUM(E15:E47)</f>
        <v>129.09420289855072</v>
      </c>
      <c r="F49" s="11"/>
      <c r="G49" s="11"/>
      <c r="H49" s="11"/>
      <c r="I49" s="11"/>
      <c r="J49" s="11"/>
      <c r="K49" s="11"/>
    </row>
    <row r="50" spans="1:11" x14ac:dyDescent="0.2">
      <c r="A50" s="11"/>
      <c r="B50" s="11"/>
      <c r="C50" s="11" t="s">
        <v>138</v>
      </c>
      <c r="D50" s="11"/>
      <c r="E50" s="11"/>
      <c r="F50" s="11"/>
      <c r="G50" s="11"/>
      <c r="H50" s="11"/>
      <c r="I50" s="11"/>
      <c r="J50" s="11"/>
      <c r="K50" s="11"/>
    </row>
    <row r="51" spans="1:11" x14ac:dyDescent="0.2">
      <c r="A51" s="48" t="s">
        <v>36</v>
      </c>
      <c r="B51" s="11"/>
      <c r="C51" s="131" t="s">
        <v>137</v>
      </c>
      <c r="D51" s="35" t="s">
        <v>75</v>
      </c>
      <c r="E51" s="11" t="s">
        <v>139</v>
      </c>
      <c r="F51" s="11"/>
      <c r="G51" s="11"/>
      <c r="H51" s="11"/>
      <c r="I51" s="11"/>
      <c r="J51" s="11"/>
      <c r="K51" s="11"/>
    </row>
    <row r="52" spans="1:11" x14ac:dyDescent="0.2">
      <c r="A52" s="51" t="s">
        <v>40</v>
      </c>
      <c r="B52" s="17"/>
      <c r="C52" s="3">
        <v>0</v>
      </c>
      <c r="D52" s="7">
        <v>13</v>
      </c>
      <c r="E52" s="52">
        <f>C52*D52</f>
        <v>0</v>
      </c>
      <c r="F52" s="11"/>
      <c r="G52" s="11"/>
      <c r="H52" s="11"/>
      <c r="I52" s="11"/>
      <c r="J52" s="11"/>
      <c r="K52" s="11"/>
    </row>
    <row r="53" spans="1:11" x14ac:dyDescent="0.2">
      <c r="A53" s="33" t="s">
        <v>37</v>
      </c>
      <c r="B53" s="17"/>
      <c r="C53" s="3">
        <v>0</v>
      </c>
      <c r="D53" s="7">
        <v>21</v>
      </c>
      <c r="E53" s="52">
        <f t="shared" ref="E53:E59" si="0">C53*D53</f>
        <v>0</v>
      </c>
      <c r="F53" s="11"/>
      <c r="G53" s="11"/>
      <c r="H53" s="11"/>
      <c r="I53" s="11"/>
      <c r="J53" s="11"/>
      <c r="K53" s="11"/>
    </row>
    <row r="54" spans="1:11" x14ac:dyDescent="0.2">
      <c r="A54" s="33" t="s">
        <v>44</v>
      </c>
      <c r="B54" s="17"/>
      <c r="C54" s="3">
        <v>1</v>
      </c>
      <c r="D54" s="7">
        <v>17</v>
      </c>
      <c r="E54" s="52">
        <f t="shared" si="0"/>
        <v>17</v>
      </c>
      <c r="F54" s="11"/>
      <c r="G54" s="11"/>
      <c r="H54" s="11"/>
      <c r="I54" s="11"/>
      <c r="J54" s="11"/>
      <c r="K54" s="11"/>
    </row>
    <row r="55" spans="1:11" x14ac:dyDescent="0.2">
      <c r="A55" s="33" t="s">
        <v>38</v>
      </c>
      <c r="B55" s="17"/>
      <c r="C55" s="3">
        <v>0</v>
      </c>
      <c r="D55" s="7">
        <v>14</v>
      </c>
      <c r="E55" s="52">
        <f t="shared" si="0"/>
        <v>0</v>
      </c>
      <c r="F55" s="11"/>
      <c r="G55" s="11"/>
      <c r="H55" s="11"/>
      <c r="I55" s="11"/>
      <c r="J55" s="11"/>
      <c r="K55" s="11"/>
    </row>
    <row r="56" spans="1:11" x14ac:dyDescent="0.2">
      <c r="A56" s="33" t="s">
        <v>74</v>
      </c>
      <c r="B56" s="17"/>
      <c r="C56" s="3">
        <v>1</v>
      </c>
      <c r="D56" s="7">
        <v>14</v>
      </c>
      <c r="E56" s="52">
        <f t="shared" si="0"/>
        <v>14</v>
      </c>
      <c r="F56" s="11"/>
      <c r="G56" s="11"/>
      <c r="H56" s="11"/>
      <c r="I56" s="11"/>
      <c r="J56" s="11"/>
      <c r="K56" s="11"/>
    </row>
    <row r="57" spans="1:11" x14ac:dyDescent="0.2">
      <c r="A57" s="33" t="s">
        <v>39</v>
      </c>
      <c r="B57" s="17"/>
      <c r="C57" s="3">
        <v>0</v>
      </c>
      <c r="D57" s="7">
        <v>17</v>
      </c>
      <c r="E57" s="52">
        <f t="shared" si="0"/>
        <v>0</v>
      </c>
      <c r="F57" s="11"/>
      <c r="G57" s="11"/>
      <c r="H57" s="11"/>
      <c r="I57" s="11"/>
      <c r="J57" s="11"/>
      <c r="K57" s="11"/>
    </row>
    <row r="58" spans="1:11" x14ac:dyDescent="0.2">
      <c r="A58" s="15" t="s">
        <v>41</v>
      </c>
      <c r="B58" s="17"/>
      <c r="C58" s="3">
        <v>1</v>
      </c>
      <c r="D58" s="7">
        <v>18</v>
      </c>
      <c r="E58" s="52">
        <f t="shared" si="0"/>
        <v>18</v>
      </c>
      <c r="F58" s="11"/>
      <c r="G58" s="11"/>
      <c r="H58" s="11"/>
      <c r="I58" s="11"/>
      <c r="J58" s="11"/>
      <c r="K58" s="11"/>
    </row>
    <row r="59" spans="1:11" x14ac:dyDescent="0.2">
      <c r="A59" s="15" t="s">
        <v>42</v>
      </c>
      <c r="B59" s="15"/>
      <c r="C59" s="3">
        <v>0</v>
      </c>
      <c r="D59" s="7">
        <v>21</v>
      </c>
      <c r="E59" s="52">
        <f t="shared" si="0"/>
        <v>0</v>
      </c>
      <c r="F59" s="11"/>
      <c r="G59" s="11"/>
      <c r="H59" s="11"/>
      <c r="I59" s="11"/>
      <c r="J59" s="11"/>
      <c r="K59" s="11"/>
    </row>
    <row r="60" spans="1:1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x14ac:dyDescent="0.2">
      <c r="A63" s="44" t="s">
        <v>55</v>
      </c>
      <c r="B63" s="15"/>
      <c r="C63" s="45"/>
      <c r="D63" s="15"/>
      <c r="E63" s="6">
        <f>SUM(E52:E61)</f>
        <v>49</v>
      </c>
      <c r="F63" s="11"/>
      <c r="G63" s="11"/>
      <c r="H63" s="11"/>
      <c r="I63" s="11"/>
      <c r="J63" s="11"/>
      <c r="K63" s="11"/>
    </row>
    <row r="64" spans="1:11" x14ac:dyDescent="0.2">
      <c r="A64" s="11"/>
      <c r="B64" s="11"/>
      <c r="C64" s="11"/>
      <c r="D64" s="11"/>
      <c r="E64" s="11"/>
      <c r="F64" s="11"/>
      <c r="G64" s="11"/>
      <c r="H64" s="11"/>
      <c r="I64" s="11"/>
      <c r="J64" s="11"/>
      <c r="K64" s="11"/>
    </row>
    <row r="65" spans="1:13" x14ac:dyDescent="0.2">
      <c r="A65" s="55" t="s">
        <v>52</v>
      </c>
      <c r="B65" s="15"/>
      <c r="C65" s="11"/>
      <c r="D65" s="11"/>
      <c r="E65" s="11"/>
      <c r="F65" s="11"/>
      <c r="G65" s="11"/>
      <c r="H65" s="11"/>
      <c r="I65" s="11"/>
      <c r="J65" s="11"/>
      <c r="K65" s="11"/>
    </row>
    <row r="66" spans="1:13" x14ac:dyDescent="0.2">
      <c r="A66" s="15" t="s">
        <v>16</v>
      </c>
      <c r="B66" s="15" t="s">
        <v>1</v>
      </c>
      <c r="C66" s="3">
        <v>1</v>
      </c>
      <c r="D66" s="8">
        <v>35</v>
      </c>
      <c r="E66" s="40">
        <f>C66*D66</f>
        <v>35</v>
      </c>
      <c r="F66" s="11"/>
      <c r="G66" s="11"/>
      <c r="H66" s="11"/>
      <c r="I66" s="211" t="s">
        <v>166</v>
      </c>
      <c r="J66" s="212"/>
      <c r="K66" s="212"/>
      <c r="L66" s="212"/>
      <c r="M66" s="213"/>
    </row>
    <row r="67" spans="1:13" x14ac:dyDescent="0.2">
      <c r="A67" s="33" t="s">
        <v>28</v>
      </c>
      <c r="B67" s="17" t="s">
        <v>1</v>
      </c>
      <c r="C67" s="3">
        <v>1</v>
      </c>
      <c r="D67" s="8">
        <v>0.15</v>
      </c>
      <c r="E67" s="10">
        <f>C67*D67*C75</f>
        <v>7.5</v>
      </c>
      <c r="F67" s="11"/>
      <c r="G67" s="11"/>
      <c r="H67" s="11"/>
      <c r="I67" s="211" t="s">
        <v>158</v>
      </c>
      <c r="J67" s="212"/>
      <c r="K67" s="212"/>
      <c r="L67" s="212"/>
      <c r="M67" s="213"/>
    </row>
    <row r="68" spans="1:13" x14ac:dyDescent="0.2">
      <c r="A68" s="15" t="s">
        <v>51</v>
      </c>
      <c r="B68" s="15" t="s">
        <v>1</v>
      </c>
      <c r="C68" s="3">
        <v>0</v>
      </c>
      <c r="D68" s="8">
        <v>20</v>
      </c>
      <c r="E68" s="40">
        <f>+C68*D68</f>
        <v>0</v>
      </c>
      <c r="F68" s="11"/>
      <c r="G68" s="202" t="s">
        <v>164</v>
      </c>
      <c r="H68" s="220"/>
      <c r="I68" s="142"/>
      <c r="J68" s="142"/>
      <c r="K68" s="142"/>
      <c r="L68" s="143"/>
      <c r="M68" s="143"/>
    </row>
    <row r="69" spans="1:13" x14ac:dyDescent="0.2">
      <c r="A69" s="68" t="s">
        <v>13</v>
      </c>
      <c r="B69" s="17" t="s">
        <v>1</v>
      </c>
      <c r="C69" s="3">
        <v>1</v>
      </c>
      <c r="D69" s="195">
        <v>100</v>
      </c>
      <c r="E69" s="40">
        <f>+C69*D69</f>
        <v>100</v>
      </c>
      <c r="F69" s="11"/>
      <c r="G69" s="140" t="s">
        <v>167</v>
      </c>
      <c r="H69" s="141" t="s">
        <v>7</v>
      </c>
      <c r="I69" s="211" t="s">
        <v>166</v>
      </c>
      <c r="J69" s="212"/>
      <c r="K69" s="212"/>
      <c r="L69" s="212"/>
      <c r="M69" s="213"/>
    </row>
    <row r="70" spans="1:13" x14ac:dyDescent="0.2">
      <c r="A70" s="56" t="s">
        <v>78</v>
      </c>
      <c r="B70" s="11"/>
      <c r="C70" s="11"/>
      <c r="D70" s="11"/>
      <c r="E70" s="57">
        <f>+(E49*0.08)+(0.2*E63)</f>
        <v>20.127536231884058</v>
      </c>
      <c r="F70" s="11"/>
      <c r="G70" s="140" t="s">
        <v>161</v>
      </c>
      <c r="H70" s="156">
        <f>C$75*1.2</f>
        <v>60</v>
      </c>
      <c r="I70" s="155">
        <f>(I$75*H70)-$E$72+$E$76</f>
        <v>-20.721739130434798</v>
      </c>
      <c r="J70" s="155">
        <f t="shared" ref="J70:M73" si="1">(J$75*$H70)-$E$72+$E$76</f>
        <v>9.2782608695652016</v>
      </c>
      <c r="K70" s="155">
        <f t="shared" si="1"/>
        <v>39.278260869565202</v>
      </c>
      <c r="L70" s="155">
        <f t="shared" si="1"/>
        <v>69.278260869565202</v>
      </c>
      <c r="M70" s="155">
        <f t="shared" si="1"/>
        <v>99.278260869565202</v>
      </c>
    </row>
    <row r="71" spans="1:13" x14ac:dyDescent="0.2">
      <c r="A71" s="11"/>
      <c r="B71" s="11"/>
      <c r="C71" s="11"/>
      <c r="D71" s="11"/>
      <c r="E71" s="11"/>
      <c r="F71" s="11"/>
      <c r="G71" s="140" t="s">
        <v>160</v>
      </c>
      <c r="H71" s="156">
        <f>C$75*1.1</f>
        <v>55.000000000000007</v>
      </c>
      <c r="I71" s="155">
        <f>(I$75*H71)-$E$72+$E$76</f>
        <v>-40.72173913043477</v>
      </c>
      <c r="J71" s="155">
        <f t="shared" si="1"/>
        <v>-13.22173913043477</v>
      </c>
      <c r="K71" s="155">
        <f t="shared" si="1"/>
        <v>14.278260869565258</v>
      </c>
      <c r="L71" s="155">
        <f t="shared" si="1"/>
        <v>41.778260869565258</v>
      </c>
      <c r="M71" s="155">
        <f t="shared" si="1"/>
        <v>69.278260869565258</v>
      </c>
    </row>
    <row r="72" spans="1:13" x14ac:dyDescent="0.2">
      <c r="A72" s="11"/>
      <c r="B72" s="11"/>
      <c r="C72" s="11"/>
      <c r="D72" s="58" t="s">
        <v>45</v>
      </c>
      <c r="E72" s="59">
        <f>+E49+E63+E66+E67+E68+E69+E70</f>
        <v>340.7217391304348</v>
      </c>
      <c r="F72" s="11"/>
      <c r="G72" s="140"/>
      <c r="H72" s="156">
        <f>C75</f>
        <v>50</v>
      </c>
      <c r="I72" s="155">
        <f>(I$75*H72)-$E$72+$E$76</f>
        <v>-60.721739130434798</v>
      </c>
      <c r="J72" s="155">
        <f t="shared" si="1"/>
        <v>-35.721739130434798</v>
      </c>
      <c r="K72" s="164">
        <f t="shared" si="1"/>
        <v>-10.721739130434798</v>
      </c>
      <c r="L72" s="165">
        <f t="shared" si="1"/>
        <v>14.278260869565202</v>
      </c>
      <c r="M72" s="165">
        <f t="shared" si="1"/>
        <v>39.278260869565202</v>
      </c>
    </row>
    <row r="73" spans="1:13" ht="13.5" customHeight="1" x14ac:dyDescent="0.2">
      <c r="A73" s="11"/>
      <c r="B73" s="11"/>
      <c r="C73" s="11"/>
      <c r="D73" s="58"/>
      <c r="E73" s="60"/>
      <c r="F73" s="11"/>
      <c r="G73" s="140" t="s">
        <v>162</v>
      </c>
      <c r="H73" s="156">
        <f>H72*0.9</f>
        <v>45</v>
      </c>
      <c r="I73" s="155">
        <f>(I$75*H73)-$E$72+$E$76</f>
        <v>-80.721739130434798</v>
      </c>
      <c r="J73" s="155">
        <f t="shared" si="1"/>
        <v>-58.221739130434798</v>
      </c>
      <c r="K73" s="155">
        <f t="shared" si="1"/>
        <v>-35.721739130434798</v>
      </c>
      <c r="L73" s="155">
        <f t="shared" si="1"/>
        <v>-13.221739130434798</v>
      </c>
      <c r="M73" s="155">
        <f t="shared" si="1"/>
        <v>9.2782608695652016</v>
      </c>
    </row>
    <row r="74" spans="1:13" ht="15" customHeight="1" x14ac:dyDescent="0.2">
      <c r="A74" s="133" t="s">
        <v>62</v>
      </c>
      <c r="B74" s="11"/>
      <c r="C74" s="11"/>
      <c r="D74" s="11"/>
      <c r="E74" s="11"/>
      <c r="F74" s="11"/>
      <c r="G74" s="140" t="s">
        <v>163</v>
      </c>
      <c r="H74" s="156">
        <f>C$75*0.8</f>
        <v>40</v>
      </c>
      <c r="I74" s="155">
        <f>(I$75*$H74)-$E$72+$E$76</f>
        <v>-100.7217391304348</v>
      </c>
      <c r="J74" s="155">
        <f>(J$75*$H74)-$E$72+$E$76</f>
        <v>-80.721739130434798</v>
      </c>
      <c r="K74" s="155">
        <f>(K$75*$H74)-$E$72+$E$76</f>
        <v>-60.721739130434798</v>
      </c>
      <c r="L74" s="155">
        <f>(L$75*$H74)-$E$72+$E$76</f>
        <v>-40.721739130434798</v>
      </c>
      <c r="M74" s="155">
        <f>(M$75*$H74)-$E$72+$E$76</f>
        <v>-20.721739130434798</v>
      </c>
    </row>
    <row r="75" spans="1:13" ht="15" customHeight="1" x14ac:dyDescent="0.2">
      <c r="A75" s="33" t="s">
        <v>63</v>
      </c>
      <c r="B75" s="17" t="s">
        <v>7</v>
      </c>
      <c r="C75" s="2">
        <v>50</v>
      </c>
      <c r="D75" s="9">
        <v>5</v>
      </c>
      <c r="E75" s="6">
        <f>D75*C75</f>
        <v>250</v>
      </c>
      <c r="F75" s="11"/>
      <c r="G75" s="218" t="s">
        <v>165</v>
      </c>
      <c r="H75" s="218"/>
      <c r="I75" s="157">
        <f>$D75*0.8</f>
        <v>4</v>
      </c>
      <c r="J75" s="157">
        <f>$D75*0.9</f>
        <v>4.5</v>
      </c>
      <c r="K75" s="157">
        <f>D75</f>
        <v>5</v>
      </c>
      <c r="L75" s="157">
        <f>K75*1.1</f>
        <v>5.5</v>
      </c>
      <c r="M75" s="157">
        <f>$D75*1.2</f>
        <v>6</v>
      </c>
    </row>
    <row r="76" spans="1:13" ht="12.75" customHeight="1" x14ac:dyDescent="0.2">
      <c r="A76" s="33" t="s">
        <v>59</v>
      </c>
      <c r="B76" s="17" t="s">
        <v>60</v>
      </c>
      <c r="C76" s="2">
        <v>1</v>
      </c>
      <c r="D76" s="9">
        <v>80</v>
      </c>
      <c r="E76" s="6">
        <f>D76*C76</f>
        <v>80</v>
      </c>
      <c r="F76" s="11"/>
      <c r="G76" s="218" t="s">
        <v>159</v>
      </c>
      <c r="H76" s="218"/>
      <c r="I76" s="146" t="s">
        <v>163</v>
      </c>
      <c r="J76" s="146" t="s">
        <v>162</v>
      </c>
      <c r="K76" s="146"/>
      <c r="L76" s="158" t="s">
        <v>160</v>
      </c>
      <c r="M76" s="158" t="s">
        <v>161</v>
      </c>
    </row>
    <row r="77" spans="1:13" ht="8.25" customHeight="1" x14ac:dyDescent="0.2">
      <c r="A77" s="16"/>
      <c r="B77" s="17"/>
      <c r="C77" s="11"/>
      <c r="D77" s="11"/>
      <c r="E77" s="11"/>
      <c r="F77" s="11"/>
    </row>
    <row r="78" spans="1:13" ht="11.25" customHeight="1" x14ac:dyDescent="0.2">
      <c r="A78" s="62"/>
      <c r="B78" s="11"/>
      <c r="C78" s="63" t="s">
        <v>54</v>
      </c>
      <c r="D78" s="58"/>
      <c r="E78" s="6">
        <f>+E75+E76</f>
        <v>330</v>
      </c>
      <c r="F78" s="11"/>
    </row>
    <row r="79" spans="1:13" ht="9" customHeight="1" x14ac:dyDescent="0.2">
      <c r="A79" s="11"/>
      <c r="B79" s="11"/>
      <c r="C79" s="11"/>
      <c r="D79" s="11"/>
      <c r="E79" s="11"/>
      <c r="F79" s="11"/>
    </row>
    <row r="80" spans="1:13" ht="15.75" customHeight="1" x14ac:dyDescent="0.25">
      <c r="A80" s="11"/>
      <c r="B80" s="11"/>
      <c r="C80" s="89" t="s">
        <v>53</v>
      </c>
      <c r="D80" s="89"/>
      <c r="E80" s="86">
        <f>E78-E72</f>
        <v>-10.721739130434798</v>
      </c>
      <c r="F80" s="11"/>
    </row>
    <row r="81" spans="1:11" ht="15" customHeight="1" x14ac:dyDescent="0.25">
      <c r="A81" s="11"/>
      <c r="B81" s="160"/>
      <c r="D81" s="58"/>
      <c r="E81" s="166"/>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topLeftCell="A53" zoomScale="112" zoomScaleNormal="112" workbookViewId="0">
      <selection activeCell="D75" sqref="D75"/>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2" spans="1:11" x14ac:dyDescent="0.2">
      <c r="A2" s="128" t="s">
        <v>129</v>
      </c>
      <c r="B2" t="s">
        <v>144</v>
      </c>
    </row>
    <row r="3" spans="1:11" x14ac:dyDescent="0.2">
      <c r="A3" t="s">
        <v>130</v>
      </c>
      <c r="E3" t="s">
        <v>131</v>
      </c>
    </row>
    <row r="5" spans="1:11" ht="12.75" customHeight="1" x14ac:dyDescent="0.2">
      <c r="A5" t="s">
        <v>207</v>
      </c>
    </row>
    <row r="6" spans="1:11" ht="12.75" customHeight="1" x14ac:dyDescent="0.2"/>
    <row r="7" spans="1:11" ht="18.75" customHeight="1" x14ac:dyDescent="0.25">
      <c r="A7" s="13" t="s">
        <v>120</v>
      </c>
      <c r="B7" s="11"/>
      <c r="C7" s="160" t="str">
        <f>+Corn!D6</f>
        <v xml:space="preserve">Revised </v>
      </c>
      <c r="D7" s="221">
        <f>Corn!E6</f>
        <v>42742</v>
      </c>
      <c r="E7" s="221"/>
      <c r="F7" s="11"/>
      <c r="G7" s="11"/>
      <c r="H7" s="11"/>
      <c r="I7" s="11"/>
      <c r="J7" s="11"/>
      <c r="K7" s="11"/>
    </row>
    <row r="8" spans="1:11" ht="5.25" customHeight="1" x14ac:dyDescent="0.2">
      <c r="A8" s="11"/>
      <c r="B8" s="11"/>
      <c r="C8" s="11"/>
      <c r="D8" s="11"/>
      <c r="E8" s="11"/>
      <c r="F8" s="11"/>
      <c r="G8" s="11"/>
      <c r="H8" s="11"/>
      <c r="I8" s="11"/>
      <c r="J8" s="11"/>
      <c r="K8" s="11"/>
    </row>
    <row r="9" spans="1:11" x14ac:dyDescent="0.2">
      <c r="A9" s="11" t="s">
        <v>47</v>
      </c>
      <c r="B9" s="11"/>
      <c r="C9" s="14"/>
      <c r="D9" s="11"/>
      <c r="E9" s="11"/>
      <c r="F9" s="11"/>
      <c r="G9" s="11"/>
      <c r="H9" s="11"/>
      <c r="I9" s="11"/>
      <c r="J9" s="11"/>
      <c r="K9" s="11"/>
    </row>
    <row r="10" spans="1:11" x14ac:dyDescent="0.2">
      <c r="A10" s="11" t="s">
        <v>79</v>
      </c>
      <c r="B10" s="11"/>
      <c r="C10" s="61"/>
      <c r="D10" s="11"/>
      <c r="E10" s="11"/>
      <c r="F10" s="11"/>
      <c r="G10" s="11"/>
      <c r="H10" s="11"/>
      <c r="I10" s="11"/>
      <c r="J10" s="11"/>
      <c r="K10" s="11"/>
    </row>
    <row r="11" spans="1:11" ht="6.75" customHeight="1" x14ac:dyDescent="0.2">
      <c r="A11" s="11"/>
      <c r="B11" s="11"/>
      <c r="C11" s="15"/>
      <c r="D11" s="11"/>
      <c r="E11" s="16"/>
      <c r="F11" s="11"/>
      <c r="G11" s="11"/>
      <c r="H11" s="11"/>
      <c r="I11" s="11"/>
      <c r="J11" s="11"/>
      <c r="K11" s="11"/>
    </row>
    <row r="12" spans="1:11" ht="13.5" thickBot="1" x14ac:dyDescent="0.25">
      <c r="A12" s="16"/>
      <c r="B12" s="18" t="s">
        <v>2</v>
      </c>
      <c r="C12" s="18" t="s">
        <v>3</v>
      </c>
      <c r="D12" s="18" t="s">
        <v>4</v>
      </c>
      <c r="E12" s="18" t="s">
        <v>5</v>
      </c>
      <c r="F12" s="11"/>
      <c r="G12" s="11"/>
      <c r="H12" s="11"/>
      <c r="I12" s="11"/>
      <c r="J12" s="11"/>
      <c r="K12" s="11"/>
    </row>
    <row r="13" spans="1:11" ht="14.25" customHeight="1" x14ac:dyDescent="0.2">
      <c r="A13" s="11"/>
      <c r="B13" s="11"/>
      <c r="C13" s="11"/>
      <c r="D13" s="11"/>
      <c r="E13" s="11"/>
      <c r="F13" s="11"/>
      <c r="G13" s="11"/>
      <c r="H13" s="11"/>
      <c r="I13" s="11"/>
      <c r="J13" s="11"/>
      <c r="K13" s="11"/>
    </row>
    <row r="14" spans="1:11" x14ac:dyDescent="0.2">
      <c r="A14" s="70" t="s">
        <v>80</v>
      </c>
      <c r="B14" s="17"/>
      <c r="C14" s="17"/>
      <c r="D14" s="33" t="s">
        <v>0</v>
      </c>
      <c r="E14" s="33" t="s">
        <v>6</v>
      </c>
      <c r="F14" s="11"/>
    </row>
    <row r="15" spans="1:11" ht="15" customHeight="1" x14ac:dyDescent="0.2">
      <c r="A15" s="71" t="s">
        <v>22</v>
      </c>
      <c r="B15" s="17"/>
      <c r="C15" s="21"/>
      <c r="D15" s="21"/>
      <c r="E15" s="21"/>
      <c r="F15" s="11"/>
      <c r="G15" s="11"/>
      <c r="H15" s="11"/>
      <c r="I15" s="11"/>
      <c r="J15" s="11"/>
      <c r="K15" s="11"/>
    </row>
    <row r="16" spans="1:11" ht="15.75" x14ac:dyDescent="0.3">
      <c r="A16" s="73" t="s">
        <v>66</v>
      </c>
      <c r="B16" s="33" t="s">
        <v>94</v>
      </c>
      <c r="C16" s="3">
        <v>0</v>
      </c>
      <c r="D16" s="10">
        <f>+H19</f>
        <v>0</v>
      </c>
      <c r="E16" s="10">
        <f>C16*D16</f>
        <v>0</v>
      </c>
      <c r="F16" s="11"/>
      <c r="G16" s="25" t="s">
        <v>27</v>
      </c>
      <c r="H16" s="91" t="s">
        <v>20</v>
      </c>
      <c r="I16" s="91" t="s">
        <v>24</v>
      </c>
      <c r="J16" s="92" t="s">
        <v>118</v>
      </c>
      <c r="K16" s="11"/>
    </row>
    <row r="17" spans="1:13" ht="15.75" x14ac:dyDescent="0.3">
      <c r="A17" s="74" t="s">
        <v>126</v>
      </c>
      <c r="B17" s="33" t="s">
        <v>94</v>
      </c>
      <c r="C17" s="3">
        <v>0</v>
      </c>
      <c r="D17" s="10">
        <f>+I19</f>
        <v>0.45108695652173914</v>
      </c>
      <c r="E17" s="10">
        <f>C17*D17</f>
        <v>0</v>
      </c>
      <c r="F17" s="11"/>
      <c r="G17" s="22" t="s">
        <v>21</v>
      </c>
      <c r="H17" s="65"/>
      <c r="I17" s="104">
        <v>415</v>
      </c>
      <c r="J17" s="65"/>
      <c r="K17" s="11"/>
    </row>
    <row r="18" spans="1:13" ht="14.25" customHeight="1" x14ac:dyDescent="0.3">
      <c r="A18" s="74" t="s">
        <v>127</v>
      </c>
      <c r="B18" s="33" t="s">
        <v>94</v>
      </c>
      <c r="C18" s="3">
        <v>0</v>
      </c>
      <c r="D18" s="10">
        <f>+J19</f>
        <v>0</v>
      </c>
      <c r="E18" s="10">
        <f>C18*D18</f>
        <v>0</v>
      </c>
      <c r="F18" s="11"/>
      <c r="G18" s="22" t="s">
        <v>32</v>
      </c>
      <c r="H18" s="105">
        <v>52</v>
      </c>
      <c r="I18" s="105">
        <v>46</v>
      </c>
      <c r="J18" s="50">
        <v>46</v>
      </c>
      <c r="K18" s="11"/>
    </row>
    <row r="19" spans="1:13" ht="14.25" customHeight="1" x14ac:dyDescent="0.3">
      <c r="A19" s="74"/>
      <c r="B19" s="11"/>
      <c r="C19" s="49"/>
      <c r="D19" s="11"/>
      <c r="E19" s="11"/>
      <c r="F19" s="11"/>
      <c r="G19" s="23" t="s">
        <v>91</v>
      </c>
      <c r="H19" s="103">
        <f>+H17/1040</f>
        <v>0</v>
      </c>
      <c r="I19" s="103">
        <f>I17/920</f>
        <v>0.45108695652173914</v>
      </c>
      <c r="J19" s="103">
        <f>J17/920</f>
        <v>0</v>
      </c>
      <c r="K19" s="11"/>
    </row>
    <row r="20" spans="1:13" ht="13.5" customHeight="1" x14ac:dyDescent="0.3">
      <c r="A20" s="73" t="s">
        <v>65</v>
      </c>
      <c r="B20" s="17" t="s">
        <v>95</v>
      </c>
      <c r="C20" s="3">
        <v>200</v>
      </c>
      <c r="D20" s="10">
        <f>H24</f>
        <v>0.30333333333333334</v>
      </c>
      <c r="E20" s="10">
        <f>C20*D20</f>
        <v>60.666666666666671</v>
      </c>
      <c r="F20" s="11"/>
      <c r="G20" s="11"/>
      <c r="H20" s="11"/>
      <c r="I20" s="11"/>
      <c r="J20" s="16"/>
      <c r="K20" s="11"/>
    </row>
    <row r="21" spans="1:13" x14ac:dyDescent="0.2">
      <c r="A21" s="16"/>
      <c r="B21" s="11"/>
      <c r="C21" s="49"/>
      <c r="D21" s="11"/>
      <c r="E21" s="11"/>
      <c r="F21" s="11"/>
      <c r="G21" s="106" t="s">
        <v>17</v>
      </c>
      <c r="H21" s="50"/>
      <c r="I21" s="76"/>
      <c r="J21" s="16"/>
      <c r="K21" s="11"/>
    </row>
    <row r="22" spans="1:13" ht="12.75" customHeight="1" x14ac:dyDescent="0.2">
      <c r="A22" s="95" t="s">
        <v>105</v>
      </c>
      <c r="B22" s="51" t="s">
        <v>104</v>
      </c>
      <c r="C22" s="130">
        <v>4</v>
      </c>
      <c r="D22" s="65">
        <v>30</v>
      </c>
      <c r="E22" s="57">
        <f>+C22*D22</f>
        <v>120</v>
      </c>
      <c r="F22" s="11"/>
      <c r="G22" s="107" t="s">
        <v>21</v>
      </c>
      <c r="H22" s="65">
        <v>364</v>
      </c>
      <c r="I22" s="76"/>
      <c r="J22" s="16"/>
      <c r="K22" s="11"/>
    </row>
    <row r="23" spans="1:13" ht="12.75" customHeight="1" x14ac:dyDescent="0.3">
      <c r="A23" s="16"/>
      <c r="B23" s="11"/>
      <c r="C23" s="11"/>
      <c r="D23" s="11"/>
      <c r="E23" s="11"/>
      <c r="F23" s="11"/>
      <c r="G23" s="107" t="s">
        <v>31</v>
      </c>
      <c r="H23" s="50">
        <v>60</v>
      </c>
      <c r="I23" s="32"/>
      <c r="J23" s="11"/>
      <c r="K23" s="11"/>
    </row>
    <row r="24" spans="1:13" ht="14.25" customHeight="1" x14ac:dyDescent="0.3">
      <c r="A24" s="71" t="s">
        <v>8</v>
      </c>
      <c r="B24" s="17"/>
      <c r="C24" s="21"/>
      <c r="D24" s="21"/>
      <c r="E24" s="21"/>
      <c r="F24" s="11"/>
      <c r="G24" s="107" t="s">
        <v>92</v>
      </c>
      <c r="H24" s="103">
        <f>H22/((H23/100)*2000)</f>
        <v>0.30333333333333334</v>
      </c>
      <c r="I24" s="32"/>
      <c r="J24" s="11"/>
      <c r="K24" s="11"/>
    </row>
    <row r="25" spans="1:13" x14ac:dyDescent="0.2">
      <c r="A25" s="74" t="s">
        <v>106</v>
      </c>
      <c r="B25" s="17" t="s">
        <v>107</v>
      </c>
      <c r="C25" s="2">
        <v>5</v>
      </c>
      <c r="D25" s="38" t="s">
        <v>35</v>
      </c>
      <c r="E25" s="10">
        <f>C25*C26</f>
        <v>75</v>
      </c>
      <c r="F25" s="11"/>
      <c r="K25" s="11"/>
    </row>
    <row r="26" spans="1:13" x14ac:dyDescent="0.2">
      <c r="A26" s="74"/>
      <c r="B26" s="17" t="s">
        <v>108</v>
      </c>
      <c r="C26" s="4">
        <v>15</v>
      </c>
      <c r="D26" s="21"/>
      <c r="E26" s="21"/>
      <c r="F26" s="11"/>
      <c r="G26" s="74"/>
      <c r="H26" s="29"/>
      <c r="I26" s="32"/>
      <c r="J26" s="11"/>
      <c r="K26" s="11"/>
    </row>
    <row r="27" spans="1:13" x14ac:dyDescent="0.2">
      <c r="A27" s="16"/>
      <c r="B27" s="11"/>
      <c r="C27" s="11"/>
      <c r="D27" s="11"/>
      <c r="E27" s="11"/>
      <c r="F27" s="11"/>
      <c r="I27" s="11"/>
      <c r="J27" s="11"/>
      <c r="K27" s="11"/>
      <c r="L27" s="90"/>
    </row>
    <row r="28" spans="1:13" x14ac:dyDescent="0.2">
      <c r="A28" s="71" t="s">
        <v>10</v>
      </c>
      <c r="B28" s="17"/>
      <c r="C28" s="21"/>
      <c r="D28" s="21"/>
      <c r="E28" s="21"/>
      <c r="F28" s="11"/>
      <c r="I28" s="11"/>
      <c r="J28" s="16"/>
      <c r="K28" s="29"/>
      <c r="L28" s="29"/>
      <c r="M28" s="1"/>
    </row>
    <row r="29" spans="1:13" x14ac:dyDescent="0.2">
      <c r="A29" s="33" t="s">
        <v>11</v>
      </c>
      <c r="B29" s="17" t="s">
        <v>1</v>
      </c>
      <c r="C29" s="3">
        <v>0</v>
      </c>
      <c r="D29" s="7">
        <v>1.5</v>
      </c>
      <c r="E29" s="40">
        <f>+D29*C29</f>
        <v>0</v>
      </c>
      <c r="F29" s="11"/>
      <c r="G29" s="11"/>
      <c r="H29" s="11"/>
      <c r="I29" s="11"/>
      <c r="J29" s="16"/>
      <c r="K29" s="16"/>
      <c r="L29" s="1"/>
      <c r="M29" s="1"/>
    </row>
    <row r="30" spans="1:13" x14ac:dyDescent="0.2">
      <c r="A30" s="74" t="s">
        <v>29</v>
      </c>
      <c r="B30" s="17" t="s">
        <v>1</v>
      </c>
      <c r="C30" s="3">
        <v>0</v>
      </c>
      <c r="D30" s="7">
        <v>7</v>
      </c>
      <c r="E30" s="40">
        <f>+D30*C30</f>
        <v>0</v>
      </c>
      <c r="F30" s="11"/>
      <c r="G30" s="11"/>
      <c r="H30" s="11"/>
      <c r="I30" s="11"/>
      <c r="J30" s="11"/>
      <c r="K30" s="11"/>
    </row>
    <row r="31" spans="1:13" x14ac:dyDescent="0.2">
      <c r="A31" s="33" t="s">
        <v>82</v>
      </c>
      <c r="B31" s="17" t="s">
        <v>1</v>
      </c>
      <c r="C31" s="3">
        <v>0</v>
      </c>
      <c r="D31" s="7">
        <v>7</v>
      </c>
      <c r="E31" s="40">
        <f>+D31*C31</f>
        <v>0</v>
      </c>
      <c r="F31" s="11"/>
      <c r="G31" s="11"/>
      <c r="H31" s="11"/>
      <c r="I31" s="11"/>
      <c r="J31" s="11"/>
      <c r="K31" s="11"/>
    </row>
    <row r="32" spans="1:13" x14ac:dyDescent="0.2">
      <c r="A32" s="15" t="s">
        <v>109</v>
      </c>
      <c r="B32" s="15" t="s">
        <v>1</v>
      </c>
      <c r="C32" s="3">
        <v>0</v>
      </c>
      <c r="D32" s="8">
        <v>15</v>
      </c>
      <c r="E32" s="40">
        <f>+C32*D32</f>
        <v>0</v>
      </c>
      <c r="F32" s="11"/>
      <c r="G32" s="11"/>
      <c r="H32" s="11"/>
      <c r="I32" s="11"/>
      <c r="J32" s="11"/>
      <c r="K32" s="11"/>
    </row>
    <row r="33" spans="1:11" x14ac:dyDescent="0.2">
      <c r="A33" s="11"/>
      <c r="B33" s="11"/>
      <c r="C33" s="11"/>
      <c r="D33" s="11"/>
      <c r="E33" s="11"/>
      <c r="F33" s="11"/>
      <c r="G33" s="11"/>
      <c r="H33" s="11"/>
      <c r="I33" s="11"/>
      <c r="J33" s="11"/>
      <c r="K33" s="11"/>
    </row>
    <row r="34" spans="1:11" x14ac:dyDescent="0.2">
      <c r="A34" s="71" t="s">
        <v>14</v>
      </c>
      <c r="B34" s="17"/>
      <c r="C34" s="43"/>
      <c r="D34" s="21"/>
      <c r="E34" s="21"/>
      <c r="F34" s="11"/>
      <c r="G34" s="11"/>
      <c r="H34" s="11"/>
      <c r="I34" s="11"/>
      <c r="J34" s="11"/>
      <c r="K34" s="11"/>
    </row>
    <row r="35" spans="1:11" x14ac:dyDescent="0.2">
      <c r="A35" s="15" t="s">
        <v>72</v>
      </c>
      <c r="B35" s="15" t="s">
        <v>1</v>
      </c>
      <c r="C35" s="3">
        <v>0</v>
      </c>
      <c r="D35" s="7">
        <v>25</v>
      </c>
      <c r="E35" s="40">
        <f>+D35*C35</f>
        <v>0</v>
      </c>
      <c r="F35" s="11"/>
      <c r="G35" s="11"/>
      <c r="H35" s="11"/>
      <c r="I35" s="11"/>
      <c r="J35" s="11"/>
      <c r="K35" s="11"/>
    </row>
    <row r="36" spans="1:11" x14ac:dyDescent="0.2">
      <c r="A36" s="15" t="s">
        <v>15</v>
      </c>
      <c r="B36" s="15" t="s">
        <v>1</v>
      </c>
      <c r="C36" s="3">
        <v>0</v>
      </c>
      <c r="D36" s="7">
        <v>7</v>
      </c>
      <c r="E36" s="40">
        <f>+D36*C36</f>
        <v>0</v>
      </c>
      <c r="F36" s="11"/>
      <c r="G36" s="11"/>
      <c r="H36" s="11"/>
      <c r="I36" s="11"/>
      <c r="J36" s="11"/>
      <c r="K36" s="11"/>
    </row>
    <row r="37" spans="1:11" x14ac:dyDescent="0.2">
      <c r="A37" s="11"/>
      <c r="B37" s="11"/>
      <c r="C37" s="11"/>
      <c r="D37" s="11"/>
      <c r="E37" s="11"/>
      <c r="F37" s="11"/>
      <c r="G37" s="11"/>
      <c r="H37" s="11"/>
      <c r="I37" s="11"/>
      <c r="J37" s="11"/>
      <c r="K37" s="11"/>
    </row>
    <row r="38" spans="1:11" x14ac:dyDescent="0.2">
      <c r="A38" s="71" t="s">
        <v>70</v>
      </c>
      <c r="B38" s="17"/>
      <c r="C38" s="43"/>
      <c r="D38" s="21"/>
      <c r="E38" s="21"/>
      <c r="F38" s="11"/>
      <c r="G38" s="11"/>
      <c r="H38" s="11"/>
      <c r="I38" s="11"/>
      <c r="J38" s="11"/>
      <c r="K38" s="11"/>
    </row>
    <row r="39" spans="1:11" x14ac:dyDescent="0.2">
      <c r="A39" s="15" t="s">
        <v>71</v>
      </c>
      <c r="B39" s="15" t="s">
        <v>1</v>
      </c>
      <c r="C39" s="3">
        <v>0</v>
      </c>
      <c r="D39" s="7">
        <v>17</v>
      </c>
      <c r="E39" s="40">
        <f>+D39*C39</f>
        <v>0</v>
      </c>
      <c r="F39" s="11"/>
      <c r="G39" s="11"/>
      <c r="H39" s="11"/>
      <c r="I39" s="11"/>
      <c r="J39" s="11"/>
      <c r="K39" s="11"/>
    </row>
    <row r="40" spans="1:11" ht="13.5" customHeight="1" x14ac:dyDescent="0.2">
      <c r="A40" s="15" t="s">
        <v>15</v>
      </c>
      <c r="B40" s="15" t="s">
        <v>1</v>
      </c>
      <c r="C40" s="3">
        <v>0</v>
      </c>
      <c r="D40" s="7">
        <v>5</v>
      </c>
      <c r="E40" s="40">
        <f>+D40*C40</f>
        <v>0</v>
      </c>
      <c r="F40" s="11"/>
      <c r="G40" s="11"/>
      <c r="H40" s="11"/>
      <c r="I40" s="11"/>
      <c r="J40" s="11"/>
      <c r="K40" s="11"/>
    </row>
    <row r="41" spans="1:11" x14ac:dyDescent="0.2">
      <c r="A41" s="44"/>
      <c r="B41" s="15"/>
      <c r="C41" s="45"/>
      <c r="D41" s="46"/>
      <c r="E41" s="47"/>
      <c r="F41" s="11"/>
      <c r="G41" s="11"/>
      <c r="H41" s="11"/>
      <c r="I41" s="11"/>
      <c r="J41" s="11"/>
      <c r="K41" s="11"/>
    </row>
    <row r="42" spans="1:11" x14ac:dyDescent="0.2">
      <c r="A42" s="54" t="s">
        <v>76</v>
      </c>
      <c r="B42" s="15" t="s">
        <v>140</v>
      </c>
      <c r="C42" s="3">
        <v>0</v>
      </c>
      <c r="D42" s="7">
        <v>150</v>
      </c>
      <c r="E42" s="40">
        <f>+D42*C42</f>
        <v>0</v>
      </c>
      <c r="F42" s="11"/>
      <c r="G42" s="11"/>
      <c r="H42" s="11"/>
      <c r="I42" s="11"/>
      <c r="J42" s="11"/>
      <c r="K42" s="11"/>
    </row>
    <row r="43" spans="1:11" x14ac:dyDescent="0.2">
      <c r="B43" s="28" t="s">
        <v>77</v>
      </c>
      <c r="C43" s="116">
        <v>0</v>
      </c>
      <c r="D43" s="75">
        <v>5.5</v>
      </c>
      <c r="E43" s="10">
        <f>+C43*D43</f>
        <v>0</v>
      </c>
      <c r="F43" s="11"/>
      <c r="G43" s="11"/>
      <c r="H43" s="11"/>
      <c r="I43" s="11"/>
      <c r="J43" s="11"/>
      <c r="K43" s="11"/>
    </row>
    <row r="44" spans="1:11" x14ac:dyDescent="0.2">
      <c r="A44" s="55" t="s">
        <v>81</v>
      </c>
      <c r="B44" s="15"/>
      <c r="C44" s="45"/>
      <c r="D44" s="46"/>
      <c r="E44" s="6">
        <f>SUM(E16:E43)</f>
        <v>255.66666666666669</v>
      </c>
      <c r="F44" s="11"/>
      <c r="G44" s="11"/>
      <c r="H44" s="11"/>
      <c r="I44" s="11"/>
      <c r="J44" s="11"/>
      <c r="K44" s="11"/>
    </row>
    <row r="45" spans="1:11" x14ac:dyDescent="0.2">
      <c r="A45" s="11"/>
      <c r="B45" s="11"/>
      <c r="C45" s="11"/>
      <c r="D45" s="11"/>
      <c r="E45" s="11"/>
      <c r="F45" s="11"/>
      <c r="G45" s="11"/>
      <c r="H45" s="11"/>
      <c r="I45" s="11"/>
      <c r="J45" s="11"/>
      <c r="K45" s="11"/>
    </row>
    <row r="46" spans="1:11" x14ac:dyDescent="0.2">
      <c r="A46" s="48" t="s">
        <v>36</v>
      </c>
      <c r="B46" s="11"/>
      <c r="C46" s="49"/>
      <c r="D46" s="50" t="s">
        <v>75</v>
      </c>
      <c r="E46" s="11"/>
      <c r="F46" s="11"/>
      <c r="G46" s="11"/>
      <c r="H46" s="11"/>
      <c r="I46" s="11"/>
      <c r="J46" s="11"/>
      <c r="K46" s="11"/>
    </row>
    <row r="47" spans="1:11" x14ac:dyDescent="0.2">
      <c r="A47" s="51" t="s">
        <v>40</v>
      </c>
      <c r="B47" s="17" t="s">
        <v>1</v>
      </c>
      <c r="C47" s="3">
        <v>0</v>
      </c>
      <c r="D47" s="7">
        <v>13</v>
      </c>
      <c r="E47" s="52">
        <f>C47*D47</f>
        <v>0</v>
      </c>
      <c r="F47" s="11"/>
      <c r="G47" s="11"/>
      <c r="H47" s="11"/>
      <c r="I47" s="11"/>
      <c r="J47" s="11"/>
      <c r="K47" s="11"/>
    </row>
    <row r="48" spans="1:11" x14ac:dyDescent="0.2">
      <c r="A48" s="33" t="s">
        <v>37</v>
      </c>
      <c r="B48" s="17" t="s">
        <v>1</v>
      </c>
      <c r="C48" s="3">
        <v>0</v>
      </c>
      <c r="D48" s="7">
        <v>21</v>
      </c>
      <c r="E48" s="52">
        <f t="shared" ref="E48:E54" si="0">C48*D48</f>
        <v>0</v>
      </c>
      <c r="F48" s="11"/>
      <c r="G48" s="11"/>
      <c r="H48" s="11"/>
      <c r="I48" s="11"/>
      <c r="J48" s="11"/>
      <c r="K48" s="11"/>
    </row>
    <row r="49" spans="1:11" x14ac:dyDescent="0.2">
      <c r="A49" s="33" t="s">
        <v>44</v>
      </c>
      <c r="B49" s="17" t="s">
        <v>1</v>
      </c>
      <c r="C49" s="3">
        <v>1</v>
      </c>
      <c r="D49" s="7">
        <v>17</v>
      </c>
      <c r="E49" s="52">
        <f t="shared" si="0"/>
        <v>17</v>
      </c>
      <c r="F49" s="11"/>
      <c r="G49" s="11"/>
      <c r="H49" s="11"/>
      <c r="I49" s="11"/>
      <c r="J49" s="11"/>
      <c r="K49" s="11"/>
    </row>
    <row r="50" spans="1:11" x14ac:dyDescent="0.2">
      <c r="A50" s="33" t="s">
        <v>38</v>
      </c>
      <c r="B50" s="17" t="s">
        <v>1</v>
      </c>
      <c r="C50" s="3">
        <v>1</v>
      </c>
      <c r="D50" s="7">
        <v>14</v>
      </c>
      <c r="E50" s="52">
        <f t="shared" si="0"/>
        <v>14</v>
      </c>
      <c r="F50" s="11"/>
      <c r="G50" s="11"/>
      <c r="H50" s="11"/>
      <c r="I50" s="11"/>
      <c r="J50" s="11"/>
      <c r="K50" s="11"/>
    </row>
    <row r="51" spans="1:11" x14ac:dyDescent="0.2">
      <c r="A51" s="33" t="s">
        <v>74</v>
      </c>
      <c r="B51" s="17" t="s">
        <v>1</v>
      </c>
      <c r="C51" s="3">
        <v>1</v>
      </c>
      <c r="D51" s="7">
        <v>14</v>
      </c>
      <c r="E51" s="52">
        <f t="shared" si="0"/>
        <v>14</v>
      </c>
      <c r="F51" s="11"/>
      <c r="G51" s="11"/>
      <c r="H51" s="11"/>
      <c r="I51" s="11"/>
      <c r="J51" s="11"/>
      <c r="K51" s="11"/>
    </row>
    <row r="52" spans="1:11" x14ac:dyDescent="0.2">
      <c r="A52" s="33" t="s">
        <v>110</v>
      </c>
      <c r="B52" s="17" t="s">
        <v>1</v>
      </c>
      <c r="C52" s="3">
        <v>0</v>
      </c>
      <c r="D52" s="7">
        <v>12</v>
      </c>
      <c r="E52" s="52">
        <f t="shared" si="0"/>
        <v>0</v>
      </c>
      <c r="F52" s="11"/>
      <c r="G52" s="11"/>
      <c r="H52" s="11"/>
      <c r="I52" s="11"/>
      <c r="J52" s="11"/>
      <c r="K52" s="11"/>
    </row>
    <row r="53" spans="1:11" x14ac:dyDescent="0.2">
      <c r="A53" s="33" t="s">
        <v>39</v>
      </c>
      <c r="B53" s="17" t="s">
        <v>1</v>
      </c>
      <c r="C53" s="3">
        <v>0</v>
      </c>
      <c r="D53" s="7">
        <v>17</v>
      </c>
      <c r="E53" s="52">
        <f t="shared" si="0"/>
        <v>0</v>
      </c>
      <c r="F53" s="11"/>
      <c r="G53" s="11"/>
      <c r="H53" s="11"/>
      <c r="I53" s="11"/>
      <c r="J53" s="11"/>
      <c r="K53" s="11"/>
    </row>
    <row r="54" spans="1:11" x14ac:dyDescent="0.2">
      <c r="A54" s="15" t="s">
        <v>41</v>
      </c>
      <c r="B54" s="17" t="s">
        <v>1</v>
      </c>
      <c r="C54" s="3">
        <v>1</v>
      </c>
      <c r="D54" s="7">
        <v>17</v>
      </c>
      <c r="E54" s="52">
        <f t="shared" si="0"/>
        <v>17</v>
      </c>
      <c r="F54" s="11"/>
      <c r="G54" s="11"/>
      <c r="H54" s="11"/>
      <c r="I54" s="11"/>
      <c r="J54" s="11"/>
      <c r="K54" s="11"/>
    </row>
    <row r="55" spans="1:11" x14ac:dyDescent="0.2">
      <c r="A55" s="15" t="s">
        <v>43</v>
      </c>
      <c r="B55" s="15" t="s">
        <v>1</v>
      </c>
      <c r="C55" s="3">
        <v>0</v>
      </c>
      <c r="D55" s="7">
        <v>10</v>
      </c>
      <c r="E55" s="40">
        <f>C55*D55</f>
        <v>0</v>
      </c>
      <c r="F55" s="11"/>
      <c r="G55" s="11"/>
      <c r="H55" s="11"/>
      <c r="I55" s="11"/>
      <c r="J55" s="11"/>
      <c r="K55" s="11"/>
    </row>
    <row r="56" spans="1:11" x14ac:dyDescent="0.2">
      <c r="A56" s="44" t="s">
        <v>55</v>
      </c>
      <c r="B56" s="15"/>
      <c r="C56" s="45"/>
      <c r="D56" s="15"/>
      <c r="E56" s="6">
        <f>SUM(E47:E55)</f>
        <v>62</v>
      </c>
      <c r="F56" s="11"/>
      <c r="G56" s="11"/>
      <c r="H56" s="11"/>
      <c r="I56" s="11"/>
      <c r="J56" s="11"/>
      <c r="K56" s="11"/>
    </row>
    <row r="57" spans="1:11" x14ac:dyDescent="0.2">
      <c r="A57" s="11"/>
      <c r="B57" s="11"/>
      <c r="C57" s="11"/>
      <c r="D57" s="11"/>
      <c r="E57" s="11"/>
      <c r="F57" s="11"/>
      <c r="G57" s="11"/>
      <c r="H57" s="11"/>
      <c r="I57" s="11"/>
      <c r="J57" s="11"/>
      <c r="K57" s="11"/>
    </row>
    <row r="58" spans="1:11" x14ac:dyDescent="0.2">
      <c r="A58" s="55" t="s">
        <v>111</v>
      </c>
      <c r="B58" s="15"/>
      <c r="C58" s="11"/>
      <c r="D58" s="11"/>
      <c r="E58" s="11"/>
      <c r="F58" s="11"/>
      <c r="G58" s="11"/>
      <c r="H58" s="11"/>
      <c r="I58" s="11"/>
      <c r="J58" s="11"/>
      <c r="K58" s="11"/>
    </row>
    <row r="59" spans="1:11" x14ac:dyDescent="0.2">
      <c r="A59" s="96" t="s">
        <v>113</v>
      </c>
      <c r="B59" s="15" t="s">
        <v>1</v>
      </c>
      <c r="C59" s="3">
        <v>1</v>
      </c>
      <c r="D59" s="8">
        <v>60</v>
      </c>
      <c r="E59" s="40">
        <f>+C59*D59</f>
        <v>60</v>
      </c>
      <c r="F59" s="11"/>
      <c r="G59" s="11"/>
      <c r="H59" s="11"/>
      <c r="I59" s="11"/>
      <c r="J59" s="11"/>
      <c r="K59" s="11"/>
    </row>
    <row r="60" spans="1:11" x14ac:dyDescent="0.2">
      <c r="A60" s="95" t="s">
        <v>112</v>
      </c>
      <c r="B60" s="17" t="s">
        <v>1</v>
      </c>
      <c r="C60" s="3">
        <v>0</v>
      </c>
      <c r="D60" s="8">
        <v>7</v>
      </c>
      <c r="E60" s="40">
        <f>+C60*D60</f>
        <v>0</v>
      </c>
      <c r="F60" s="11"/>
      <c r="G60" s="11"/>
      <c r="H60" s="11"/>
      <c r="I60" s="11"/>
      <c r="J60" s="11"/>
      <c r="K60" s="11"/>
    </row>
    <row r="61" spans="1:11" x14ac:dyDescent="0.2">
      <c r="A61" s="95" t="s">
        <v>114</v>
      </c>
      <c r="B61" s="17" t="s">
        <v>1</v>
      </c>
      <c r="C61" s="3">
        <v>0</v>
      </c>
      <c r="D61" s="8">
        <v>7.5</v>
      </c>
      <c r="E61" s="40">
        <f>+C61*D61</f>
        <v>0</v>
      </c>
      <c r="F61" s="11"/>
      <c r="G61" s="11"/>
      <c r="H61" s="11"/>
      <c r="I61" s="11"/>
      <c r="J61" s="11"/>
      <c r="K61" s="11"/>
    </row>
    <row r="62" spans="1:11" x14ac:dyDescent="0.2">
      <c r="A62" t="s">
        <v>115</v>
      </c>
      <c r="B62" s="97" t="s">
        <v>1</v>
      </c>
      <c r="C62" s="100">
        <v>0</v>
      </c>
      <c r="D62" s="98">
        <v>0.65</v>
      </c>
      <c r="E62" s="99">
        <f>+((C74*2000)/40)*D62*C62</f>
        <v>0</v>
      </c>
      <c r="F62" s="11"/>
      <c r="G62" s="11"/>
      <c r="H62" s="11"/>
      <c r="I62" s="11"/>
      <c r="J62" s="11"/>
      <c r="K62" s="11"/>
    </row>
    <row r="63" spans="1:11" x14ac:dyDescent="0.2">
      <c r="A63" t="s">
        <v>116</v>
      </c>
      <c r="B63" s="97" t="s">
        <v>1</v>
      </c>
      <c r="C63" s="100">
        <v>0</v>
      </c>
      <c r="D63" s="101">
        <v>10.5</v>
      </c>
      <c r="E63" s="99">
        <f>+((C74*2000)/600)*D63*C63</f>
        <v>0</v>
      </c>
    </row>
    <row r="64" spans="1:11" x14ac:dyDescent="0.2">
      <c r="A64" t="s">
        <v>117</v>
      </c>
      <c r="B64" s="97" t="s">
        <v>1</v>
      </c>
      <c r="C64" s="100">
        <v>0</v>
      </c>
      <c r="D64" s="102">
        <v>11</v>
      </c>
      <c r="E64" s="99">
        <f>+((C74*2000)/1000)*D64*C64</f>
        <v>0</v>
      </c>
    </row>
    <row r="65" spans="1:11" x14ac:dyDescent="0.2">
      <c r="A65" s="128" t="s">
        <v>132</v>
      </c>
      <c r="B65" s="97" t="s">
        <v>133</v>
      </c>
      <c r="C65" s="116">
        <v>0</v>
      </c>
      <c r="D65" s="75">
        <v>4.5</v>
      </c>
      <c r="E65" s="99">
        <f>(+C65*D65*((C74*2))*C64)+(+C65*D65*(((C74*2000))/600)*C63)</f>
        <v>0</v>
      </c>
    </row>
    <row r="66" spans="1:11" x14ac:dyDescent="0.2">
      <c r="A66" s="110" t="s">
        <v>125</v>
      </c>
      <c r="B66" s="97"/>
      <c r="E66" s="114">
        <f>SUM(E59:E65)</f>
        <v>60</v>
      </c>
    </row>
    <row r="67" spans="1:11" x14ac:dyDescent="0.2">
      <c r="B67" s="97"/>
      <c r="E67" s="99"/>
    </row>
    <row r="68" spans="1:11" x14ac:dyDescent="0.2">
      <c r="A68" s="68" t="s">
        <v>13</v>
      </c>
      <c r="B68" s="17" t="s">
        <v>1</v>
      </c>
      <c r="C68" s="196">
        <v>1</v>
      </c>
      <c r="D68" s="197">
        <v>100</v>
      </c>
      <c r="E68" s="40">
        <f>+C68*D68</f>
        <v>100</v>
      </c>
    </row>
    <row r="69" spans="1:11" x14ac:dyDescent="0.2">
      <c r="A69" s="56" t="s">
        <v>100</v>
      </c>
      <c r="B69" s="11"/>
      <c r="C69" s="11"/>
      <c r="D69" s="11"/>
      <c r="E69" s="57">
        <f>0.08*(E44+(0.2*E56))</f>
        <v>21.445333333333334</v>
      </c>
      <c r="F69" s="11"/>
      <c r="G69" s="11"/>
      <c r="H69" s="11"/>
      <c r="I69" s="11"/>
      <c r="J69" s="11"/>
      <c r="K69" s="11"/>
    </row>
    <row r="70" spans="1:11" ht="12.75" customHeight="1" x14ac:dyDescent="0.2">
      <c r="A70" s="56"/>
      <c r="B70" s="11"/>
      <c r="C70" s="11"/>
      <c r="D70" s="11"/>
      <c r="E70" s="57"/>
      <c r="F70" s="11"/>
      <c r="G70" s="11"/>
      <c r="H70" s="11"/>
      <c r="I70" s="11"/>
      <c r="J70" s="11"/>
      <c r="K70" s="11"/>
    </row>
    <row r="71" spans="1:11" ht="12.75" customHeight="1" x14ac:dyDescent="0.2">
      <c r="A71" s="11"/>
      <c r="B71" s="11"/>
      <c r="C71" s="11"/>
      <c r="D71" s="58" t="s">
        <v>45</v>
      </c>
      <c r="E71" s="59">
        <f>+E44+E56+E66+E68+E69</f>
        <v>499.11200000000002</v>
      </c>
      <c r="F71" s="11"/>
      <c r="G71" s="11"/>
      <c r="H71" s="11"/>
      <c r="I71" s="11"/>
      <c r="J71" s="11"/>
      <c r="K71" s="11"/>
    </row>
    <row r="72" spans="1:11" ht="13.5" customHeight="1" x14ac:dyDescent="0.2">
      <c r="A72" s="11"/>
      <c r="B72" s="11"/>
      <c r="C72" s="11"/>
      <c r="D72" s="58"/>
      <c r="E72" s="60"/>
      <c r="F72" s="11"/>
      <c r="G72" s="11"/>
      <c r="H72" s="11"/>
      <c r="I72" s="11"/>
      <c r="J72" s="11"/>
      <c r="K72" s="11"/>
    </row>
    <row r="73" spans="1:11" ht="12" customHeight="1" x14ac:dyDescent="0.2">
      <c r="A73" s="134" t="s">
        <v>62</v>
      </c>
      <c r="B73" s="11"/>
      <c r="C73" s="214" t="s">
        <v>54</v>
      </c>
      <c r="D73" s="215"/>
      <c r="E73" s="216">
        <f>+D74*C74</f>
        <v>300</v>
      </c>
      <c r="F73" s="11"/>
      <c r="G73" s="11"/>
      <c r="H73" s="11"/>
      <c r="I73" s="11"/>
      <c r="J73" s="11"/>
      <c r="K73" s="11"/>
    </row>
    <row r="74" spans="1:11" ht="12" customHeight="1" x14ac:dyDescent="0.2">
      <c r="A74" s="37" t="s">
        <v>102</v>
      </c>
      <c r="B74" s="17" t="s">
        <v>103</v>
      </c>
      <c r="C74" s="94">
        <v>2</v>
      </c>
      <c r="D74" s="83">
        <v>150</v>
      </c>
      <c r="E74" s="217"/>
      <c r="F74" s="11"/>
      <c r="J74" s="11"/>
      <c r="K74" s="11"/>
    </row>
    <row r="75" spans="1:11" ht="12.75" customHeight="1" x14ac:dyDescent="0.2">
      <c r="A75" s="16"/>
      <c r="B75" s="17"/>
      <c r="C75" s="11"/>
      <c r="D75" s="11"/>
      <c r="E75" s="11"/>
      <c r="F75" s="11"/>
      <c r="J75" s="11"/>
      <c r="K75" s="11"/>
    </row>
    <row r="76" spans="1:11" ht="12" customHeight="1" x14ac:dyDescent="0.25">
      <c r="A76" s="11"/>
      <c r="B76" s="11"/>
      <c r="C76" s="199" t="s">
        <v>53</v>
      </c>
      <c r="D76" s="200"/>
      <c r="E76" s="86">
        <f>E73-E71</f>
        <v>-199.11200000000002</v>
      </c>
      <c r="F76" s="11"/>
      <c r="J76" s="11"/>
      <c r="K76" s="11"/>
    </row>
    <row r="77" spans="1:11" ht="18" customHeight="1" x14ac:dyDescent="0.2">
      <c r="A77" s="11"/>
      <c r="B77" s="11"/>
      <c r="F77" s="11"/>
      <c r="K77" s="11"/>
    </row>
    <row r="78" spans="1:11" ht="19.5" customHeight="1" x14ac:dyDescent="0.2">
      <c r="A78" s="11"/>
      <c r="B78" s="11"/>
      <c r="C78" s="11"/>
      <c r="D78" s="11"/>
      <c r="E78" s="11"/>
      <c r="F78" s="11"/>
      <c r="K78" s="11"/>
    </row>
    <row r="79" spans="1:11" x14ac:dyDescent="0.2">
      <c r="F79" s="11"/>
      <c r="K79" s="11"/>
    </row>
    <row r="80" spans="1:11" x14ac:dyDescent="0.2">
      <c r="F80" s="11"/>
    </row>
    <row r="81" spans="6:6" ht="15.75" customHeight="1" x14ac:dyDescent="0.2">
      <c r="F81" s="11"/>
    </row>
    <row r="82" spans="6:6" x14ac:dyDescent="0.2">
      <c r="F82" s="11"/>
    </row>
    <row r="83" spans="6:6" x14ac:dyDescent="0.2">
      <c r="F83" s="11"/>
    </row>
    <row r="84" spans="6:6" ht="17.25" customHeight="1" x14ac:dyDescent="0.2">
      <c r="F84" s="11"/>
    </row>
    <row r="85" spans="6:6" x14ac:dyDescent="0.2">
      <c r="F85" s="11"/>
    </row>
    <row r="86" spans="6:6" x14ac:dyDescent="0.2">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rintOptions gridLines="1"/>
  <pageMargins left="0.75" right="0.75" top="1" bottom="1" header="0.5" footer="0.5"/>
  <pageSetup scale="69" orientation="portrait"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zoomScale="138" zoomScaleNormal="138" workbookViewId="0">
      <selection activeCell="I17" sqref="I17"/>
    </sheetView>
  </sheetViews>
  <sheetFormatPr defaultRowHeight="12.75" x14ac:dyDescent="0.2"/>
  <cols>
    <col min="1" max="1" width="21.85546875" customWidth="1"/>
    <col min="2" max="2" width="14.85546875" customWidth="1"/>
    <col min="3" max="4" width="9.42578125" customWidth="1"/>
    <col min="6" max="6" width="2.140625" customWidth="1"/>
    <col min="7" max="7" width="13.7109375" customWidth="1"/>
    <col min="8" max="8" width="6.42578125" customWidth="1"/>
    <col min="9" max="9" width="6" customWidth="1"/>
    <col min="10" max="10" width="7.28515625" customWidth="1"/>
    <col min="11" max="11" width="11.140625" customWidth="1"/>
  </cols>
  <sheetData>
    <row r="1" spans="1:11" ht="17.25" customHeight="1" x14ac:dyDescent="0.2">
      <c r="A1" s="128" t="s">
        <v>129</v>
      </c>
      <c r="B1" t="s">
        <v>144</v>
      </c>
    </row>
    <row r="2" spans="1:11" x14ac:dyDescent="0.2">
      <c r="A2" t="s">
        <v>130</v>
      </c>
      <c r="E2" t="s">
        <v>131</v>
      </c>
    </row>
    <row r="4" spans="1:11" x14ac:dyDescent="0.2">
      <c r="A4" t="s">
        <v>207</v>
      </c>
    </row>
    <row r="5" spans="1:11" ht="10.5" customHeight="1" x14ac:dyDescent="0.2"/>
    <row r="6" spans="1:11" ht="18.75" customHeight="1" x14ac:dyDescent="0.25">
      <c r="A6" s="13" t="s">
        <v>121</v>
      </c>
      <c r="B6" s="11"/>
      <c r="C6" s="11" t="str">
        <f>+Corn!D6</f>
        <v xml:space="preserve">Revised </v>
      </c>
      <c r="D6" s="192">
        <f>Corn!E6</f>
        <v>42742</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1" t="s">
        <v>47</v>
      </c>
      <c r="B8" s="11"/>
      <c r="C8" s="14"/>
      <c r="D8" s="11"/>
      <c r="E8" s="11"/>
      <c r="F8" s="11"/>
      <c r="G8" s="11"/>
      <c r="H8" s="11"/>
      <c r="I8" s="11"/>
      <c r="J8" s="11"/>
      <c r="K8" s="11"/>
    </row>
    <row r="9" spans="1:11" x14ac:dyDescent="0.2">
      <c r="A9" s="11" t="s">
        <v>79</v>
      </c>
      <c r="B9" s="11"/>
      <c r="C9" s="61"/>
      <c r="D9" s="11"/>
      <c r="E9" s="11"/>
      <c r="F9" s="11"/>
      <c r="G9" s="11"/>
      <c r="H9" s="11"/>
      <c r="I9" s="11"/>
      <c r="J9" s="11"/>
      <c r="K9" s="11"/>
    </row>
    <row r="10" spans="1:11" ht="12" customHeight="1" x14ac:dyDescent="0.2">
      <c r="A10" s="11"/>
      <c r="B10" s="11"/>
      <c r="C10" s="15"/>
      <c r="D10" s="11"/>
      <c r="E10" s="16"/>
      <c r="F10" s="11"/>
      <c r="G10" s="11"/>
      <c r="H10" s="11"/>
      <c r="I10" s="11"/>
      <c r="J10" s="11"/>
      <c r="K10" s="11"/>
    </row>
    <row r="11" spans="1:11" x14ac:dyDescent="0.2">
      <c r="A11" s="70" t="s">
        <v>80</v>
      </c>
      <c r="B11" s="17"/>
      <c r="C11" s="17"/>
      <c r="F11" s="11"/>
    </row>
    <row r="12" spans="1:11" ht="13.5" thickBot="1" x14ac:dyDescent="0.25">
      <c r="A12" s="70"/>
      <c r="B12" s="18" t="s">
        <v>2</v>
      </c>
      <c r="C12" s="18" t="s">
        <v>3</v>
      </c>
      <c r="D12" s="18" t="s">
        <v>4</v>
      </c>
      <c r="E12" s="18" t="s">
        <v>5</v>
      </c>
      <c r="F12" s="11"/>
    </row>
    <row r="13" spans="1:11" ht="15" customHeight="1" x14ac:dyDescent="0.2">
      <c r="A13" s="71" t="s">
        <v>22</v>
      </c>
      <c r="B13" s="17"/>
      <c r="C13" s="21"/>
      <c r="D13" s="33" t="s">
        <v>0</v>
      </c>
      <c r="E13" s="33" t="s">
        <v>6</v>
      </c>
      <c r="F13" s="11"/>
      <c r="G13" s="11"/>
      <c r="H13" s="11"/>
      <c r="I13" s="11"/>
      <c r="J13" s="11"/>
      <c r="K13" s="11"/>
    </row>
    <row r="14" spans="1:11" ht="7.5" customHeight="1" x14ac:dyDescent="0.2">
      <c r="A14" s="16"/>
      <c r="B14" s="11"/>
      <c r="C14" s="49"/>
      <c r="D14" s="11"/>
      <c r="E14" s="11"/>
      <c r="F14" s="11"/>
      <c r="K14" s="11"/>
    </row>
    <row r="15" spans="1:11" ht="15.75" x14ac:dyDescent="0.3">
      <c r="A15" s="73" t="s">
        <v>66</v>
      </c>
      <c r="B15" s="33" t="s">
        <v>94</v>
      </c>
      <c r="C15" s="3">
        <v>0</v>
      </c>
      <c r="D15" s="10">
        <f>+H18</f>
        <v>0</v>
      </c>
      <c r="E15" s="10">
        <f>C15*D15</f>
        <v>0</v>
      </c>
      <c r="F15" s="11"/>
      <c r="G15" s="25" t="s">
        <v>27</v>
      </c>
      <c r="H15" s="91" t="s">
        <v>20</v>
      </c>
      <c r="I15" s="91" t="s">
        <v>24</v>
      </c>
      <c r="J15" s="92" t="s">
        <v>118</v>
      </c>
      <c r="K15" s="11"/>
    </row>
    <row r="16" spans="1:11" ht="14.25" customHeight="1" x14ac:dyDescent="0.3">
      <c r="A16" s="74" t="s">
        <v>61</v>
      </c>
      <c r="B16" s="33" t="s">
        <v>94</v>
      </c>
      <c r="C16" s="3">
        <v>50</v>
      </c>
      <c r="D16" s="10">
        <f>+I18</f>
        <v>0.4826086956521739</v>
      </c>
      <c r="E16" s="10">
        <f>C16*D16</f>
        <v>24.130434782608695</v>
      </c>
      <c r="F16" s="11"/>
      <c r="G16" s="22" t="s">
        <v>21</v>
      </c>
      <c r="H16" s="65">
        <v>0</v>
      </c>
      <c r="I16" s="104">
        <v>444</v>
      </c>
      <c r="J16" s="65">
        <v>0</v>
      </c>
      <c r="K16" s="11"/>
    </row>
    <row r="17" spans="1:13" ht="14.25" customHeight="1" x14ac:dyDescent="0.3">
      <c r="A17" s="74" t="s">
        <v>119</v>
      </c>
      <c r="B17" s="33" t="s">
        <v>94</v>
      </c>
      <c r="C17" s="3">
        <v>0</v>
      </c>
      <c r="D17" s="10">
        <f>+J18</f>
        <v>0</v>
      </c>
      <c r="E17" s="10">
        <f>C17*D17</f>
        <v>0</v>
      </c>
      <c r="F17" s="11"/>
      <c r="G17" s="22" t="s">
        <v>32</v>
      </c>
      <c r="H17" s="105">
        <v>52</v>
      </c>
      <c r="I17" s="105">
        <v>46</v>
      </c>
      <c r="J17" s="50">
        <v>46</v>
      </c>
      <c r="K17" s="11"/>
    </row>
    <row r="18" spans="1:13" ht="13.5" customHeight="1" x14ac:dyDescent="0.3">
      <c r="A18" s="74"/>
      <c r="B18" s="11"/>
      <c r="C18" s="49"/>
      <c r="D18" s="11"/>
      <c r="E18" s="11"/>
      <c r="F18" s="11"/>
      <c r="G18" s="23" t="s">
        <v>91</v>
      </c>
      <c r="H18" s="103">
        <f>H16/1040</f>
        <v>0</v>
      </c>
      <c r="I18" s="103">
        <f>I16/920</f>
        <v>0.4826086956521739</v>
      </c>
      <c r="J18" s="103">
        <f>J16/920</f>
        <v>0</v>
      </c>
      <c r="K18" s="11"/>
    </row>
    <row r="19" spans="1:13" ht="15.75" x14ac:dyDescent="0.3">
      <c r="A19" s="73" t="s">
        <v>65</v>
      </c>
      <c r="B19" s="17" t="s">
        <v>95</v>
      </c>
      <c r="C19" s="3">
        <v>350</v>
      </c>
      <c r="D19" s="10">
        <f>H23</f>
        <v>0.30333333333333334</v>
      </c>
      <c r="E19" s="10">
        <f>C19*D19</f>
        <v>106.16666666666667</v>
      </c>
      <c r="F19" s="11"/>
      <c r="G19" s="11"/>
      <c r="H19" s="11"/>
      <c r="I19" s="11"/>
      <c r="J19" s="16"/>
      <c r="K19" s="11"/>
    </row>
    <row r="20" spans="1:13" ht="12.75" customHeight="1" x14ac:dyDescent="0.2">
      <c r="A20" s="16"/>
      <c r="B20" s="11"/>
      <c r="C20" s="49"/>
      <c r="D20" s="11"/>
      <c r="E20" s="11"/>
      <c r="F20" s="11"/>
      <c r="G20" s="106" t="s">
        <v>17</v>
      </c>
      <c r="H20" s="50"/>
      <c r="I20" s="76"/>
      <c r="J20" s="16"/>
      <c r="K20" s="11"/>
    </row>
    <row r="21" spans="1:13" ht="12.75" customHeight="1" x14ac:dyDescent="0.2">
      <c r="A21" s="95" t="s">
        <v>105</v>
      </c>
      <c r="B21" s="51" t="s">
        <v>104</v>
      </c>
      <c r="C21" s="115">
        <v>0</v>
      </c>
      <c r="D21" s="65">
        <v>28</v>
      </c>
      <c r="E21" s="57">
        <f>+C21*D21</f>
        <v>0</v>
      </c>
      <c r="F21" s="11"/>
      <c r="G21" s="107" t="s">
        <v>21</v>
      </c>
      <c r="H21" s="65">
        <v>364</v>
      </c>
      <c r="I21" s="76"/>
      <c r="J21" s="16"/>
      <c r="K21" s="11"/>
    </row>
    <row r="22" spans="1:13" ht="12.75" customHeight="1" x14ac:dyDescent="0.3">
      <c r="A22" s="95"/>
      <c r="B22" s="51"/>
      <c r="C22" s="108"/>
      <c r="D22" s="109"/>
      <c r="E22" s="93"/>
      <c r="F22" s="11"/>
      <c r="G22" s="107" t="s">
        <v>31</v>
      </c>
      <c r="H22" s="50">
        <v>60</v>
      </c>
      <c r="I22" s="32"/>
      <c r="J22" s="11"/>
      <c r="K22" s="11"/>
    </row>
    <row r="23" spans="1:13" ht="12.75" customHeight="1" x14ac:dyDescent="0.3">
      <c r="A23" s="95" t="s">
        <v>123</v>
      </c>
      <c r="B23" s="51"/>
      <c r="C23" s="115">
        <v>10</v>
      </c>
      <c r="D23" s="65">
        <v>0.82499999999999996</v>
      </c>
      <c r="E23" s="57">
        <f>+C23*D23</f>
        <v>8.25</v>
      </c>
      <c r="F23" s="11"/>
      <c r="G23" s="107" t="s">
        <v>92</v>
      </c>
      <c r="H23" s="103">
        <f>H21/((H22/100)*2000)</f>
        <v>0.30333333333333334</v>
      </c>
      <c r="I23" s="32"/>
      <c r="J23" s="11"/>
      <c r="K23" s="11"/>
    </row>
    <row r="24" spans="1:13" ht="12.75" customHeight="1" x14ac:dyDescent="0.2">
      <c r="A24" s="95" t="s">
        <v>124</v>
      </c>
      <c r="B24" s="51"/>
      <c r="C24" s="115">
        <v>3</v>
      </c>
      <c r="D24" s="129">
        <v>1</v>
      </c>
      <c r="E24" s="57">
        <f>+C24*D24</f>
        <v>3</v>
      </c>
      <c r="F24" s="11"/>
      <c r="G24" s="74"/>
      <c r="H24" s="16"/>
      <c r="I24" s="16"/>
      <c r="J24" s="11"/>
      <c r="K24" s="11"/>
    </row>
    <row r="25" spans="1:13" ht="9" customHeight="1" x14ac:dyDescent="0.2">
      <c r="A25" s="16"/>
      <c r="B25" s="11"/>
      <c r="C25" s="11"/>
      <c r="D25" s="11"/>
      <c r="E25" s="11"/>
      <c r="F25" s="11"/>
      <c r="G25" s="1"/>
      <c r="H25" s="1"/>
      <c r="I25" s="16"/>
      <c r="J25" s="11"/>
      <c r="K25" s="11"/>
    </row>
    <row r="26" spans="1:13" x14ac:dyDescent="0.2">
      <c r="A26" s="71" t="s">
        <v>8</v>
      </c>
      <c r="B26" s="17"/>
      <c r="C26" s="21"/>
      <c r="D26" s="21"/>
      <c r="E26" s="21"/>
      <c r="F26" s="11"/>
      <c r="G26" s="1"/>
      <c r="H26" s="1"/>
      <c r="K26" s="11"/>
    </row>
    <row r="27" spans="1:13" x14ac:dyDescent="0.2">
      <c r="A27" s="74" t="s">
        <v>106</v>
      </c>
      <c r="B27" s="17" t="s">
        <v>107</v>
      </c>
      <c r="C27" s="2">
        <v>0</v>
      </c>
      <c r="D27" s="38" t="s">
        <v>35</v>
      </c>
      <c r="E27" s="10">
        <f>C27*C28</f>
        <v>0</v>
      </c>
      <c r="F27" s="11"/>
      <c r="G27" s="74"/>
      <c r="H27" s="29"/>
      <c r="I27" s="16"/>
      <c r="J27" s="11"/>
      <c r="K27" s="11"/>
    </row>
    <row r="28" spans="1:13" x14ac:dyDescent="0.2">
      <c r="A28" s="74"/>
      <c r="B28" s="17" t="s">
        <v>108</v>
      </c>
      <c r="C28" s="4">
        <v>0</v>
      </c>
      <c r="D28" s="21"/>
      <c r="E28" s="21"/>
      <c r="F28" s="11"/>
      <c r="I28" s="11"/>
      <c r="J28" s="11"/>
      <c r="K28" s="11"/>
      <c r="L28" s="90"/>
    </row>
    <row r="29" spans="1:13" ht="7.5" customHeight="1" x14ac:dyDescent="0.2">
      <c r="A29" s="16"/>
      <c r="B29" s="11"/>
      <c r="C29" s="11"/>
      <c r="D29" s="11"/>
      <c r="E29" s="11"/>
      <c r="F29" s="11"/>
      <c r="I29" s="11"/>
      <c r="J29" s="16"/>
      <c r="K29" s="29"/>
      <c r="L29" s="29"/>
      <c r="M29" s="1"/>
    </row>
    <row r="30" spans="1:13" x14ac:dyDescent="0.2">
      <c r="A30" s="71" t="s">
        <v>10</v>
      </c>
      <c r="B30" s="17"/>
      <c r="C30" s="21"/>
      <c r="D30" s="21"/>
      <c r="E30" s="21"/>
      <c r="F30" s="11"/>
      <c r="G30" s="11"/>
      <c r="H30" s="11"/>
      <c r="I30" s="11"/>
      <c r="J30" s="16"/>
      <c r="K30" s="16"/>
      <c r="L30" s="1"/>
      <c r="M30" s="1"/>
    </row>
    <row r="31" spans="1:13" x14ac:dyDescent="0.2">
      <c r="A31" s="33" t="s">
        <v>11</v>
      </c>
      <c r="B31" s="17" t="s">
        <v>1</v>
      </c>
      <c r="C31" s="3">
        <v>0</v>
      </c>
      <c r="D31" s="7">
        <v>2</v>
      </c>
      <c r="E31" s="40">
        <f>+D31*C31</f>
        <v>0</v>
      </c>
      <c r="F31" s="11"/>
      <c r="G31" s="11"/>
      <c r="H31" s="11"/>
      <c r="I31" s="11"/>
      <c r="J31" s="11"/>
      <c r="K31" s="11"/>
    </row>
    <row r="32" spans="1:13" x14ac:dyDescent="0.2">
      <c r="A32" s="74" t="s">
        <v>29</v>
      </c>
      <c r="B32" s="17" t="s">
        <v>1</v>
      </c>
      <c r="C32" s="3">
        <v>0</v>
      </c>
      <c r="D32" s="7">
        <v>7</v>
      </c>
      <c r="E32" s="40">
        <f>+D32*C32</f>
        <v>0</v>
      </c>
      <c r="F32" s="11"/>
      <c r="G32" s="11"/>
      <c r="H32" s="11"/>
      <c r="I32" s="11"/>
      <c r="J32" s="11"/>
      <c r="K32" s="11"/>
    </row>
    <row r="33" spans="1:11" x14ac:dyDescent="0.2">
      <c r="A33" s="33" t="s">
        <v>82</v>
      </c>
      <c r="B33" s="17" t="s">
        <v>1</v>
      </c>
      <c r="C33" s="3">
        <v>0</v>
      </c>
      <c r="D33" s="7">
        <v>7</v>
      </c>
      <c r="E33" s="40">
        <f>+D33*C33</f>
        <v>0</v>
      </c>
      <c r="F33" s="11"/>
      <c r="G33" s="11"/>
      <c r="H33" s="11"/>
      <c r="I33" s="11"/>
      <c r="J33" s="11"/>
      <c r="K33" s="11"/>
    </row>
    <row r="34" spans="1:11" x14ac:dyDescent="0.2">
      <c r="A34" s="15" t="s">
        <v>109</v>
      </c>
      <c r="B34" s="15" t="s">
        <v>1</v>
      </c>
      <c r="C34" s="3">
        <v>0</v>
      </c>
      <c r="D34" s="8">
        <v>15</v>
      </c>
      <c r="E34" s="40">
        <f>+C34*D34</f>
        <v>0</v>
      </c>
      <c r="F34" s="11"/>
      <c r="G34" s="11"/>
      <c r="H34" s="11"/>
      <c r="I34" s="11"/>
      <c r="J34" s="11"/>
      <c r="K34" s="11"/>
    </row>
    <row r="35" spans="1:11" ht="8.25" customHeight="1" x14ac:dyDescent="0.2">
      <c r="A35" s="11"/>
      <c r="B35" s="11"/>
      <c r="C35" s="11"/>
      <c r="D35" s="11"/>
      <c r="E35" s="11"/>
      <c r="F35" s="11"/>
      <c r="G35" s="11"/>
      <c r="H35" s="11"/>
      <c r="I35" s="11"/>
      <c r="J35" s="11"/>
      <c r="K35" s="11"/>
    </row>
    <row r="36" spans="1:11" x14ac:dyDescent="0.2">
      <c r="A36" s="71" t="s">
        <v>14</v>
      </c>
      <c r="B36" s="17"/>
      <c r="C36" s="43"/>
      <c r="D36" s="21"/>
      <c r="E36" s="21"/>
      <c r="F36" s="11"/>
      <c r="G36" s="11"/>
      <c r="H36" s="11"/>
      <c r="I36" s="11"/>
      <c r="J36" s="11"/>
      <c r="K36" s="11"/>
    </row>
    <row r="37" spans="1:11" x14ac:dyDescent="0.2">
      <c r="A37" s="15" t="s">
        <v>72</v>
      </c>
      <c r="B37" s="15" t="s">
        <v>1</v>
      </c>
      <c r="C37" s="3">
        <v>0</v>
      </c>
      <c r="D37" s="7">
        <v>25</v>
      </c>
      <c r="E37" s="40">
        <f>+D37*C37</f>
        <v>0</v>
      </c>
      <c r="F37" s="11"/>
      <c r="G37" s="11"/>
      <c r="H37" s="11"/>
      <c r="I37" s="11"/>
      <c r="J37" s="11"/>
      <c r="K37" s="11"/>
    </row>
    <row r="38" spans="1:11" x14ac:dyDescent="0.2">
      <c r="A38" s="15" t="s">
        <v>15</v>
      </c>
      <c r="B38" s="15" t="s">
        <v>1</v>
      </c>
      <c r="C38" s="3">
        <v>0</v>
      </c>
      <c r="D38" s="7">
        <v>7</v>
      </c>
      <c r="E38" s="40">
        <f>+D38*C38</f>
        <v>0</v>
      </c>
      <c r="F38" s="11"/>
      <c r="G38" s="11"/>
      <c r="H38" s="11"/>
      <c r="I38" s="11"/>
      <c r="J38" s="11"/>
      <c r="K38" s="11"/>
    </row>
    <row r="39" spans="1:11" ht="8.25" customHeight="1" x14ac:dyDescent="0.2">
      <c r="A39" s="11"/>
      <c r="B39" s="11"/>
      <c r="C39" s="11"/>
      <c r="D39" s="11"/>
      <c r="E39" s="11"/>
      <c r="F39" s="11"/>
      <c r="G39" s="11"/>
      <c r="H39" s="11"/>
      <c r="I39" s="11"/>
      <c r="J39" s="11"/>
      <c r="K39" s="11"/>
    </row>
    <row r="40" spans="1:11" x14ac:dyDescent="0.2">
      <c r="A40" s="71" t="s">
        <v>122</v>
      </c>
      <c r="B40" s="17"/>
      <c r="C40" s="43"/>
      <c r="D40" s="21"/>
      <c r="E40" s="21"/>
      <c r="F40" s="11"/>
      <c r="G40" s="11"/>
      <c r="H40" s="11"/>
      <c r="I40" s="11"/>
      <c r="J40" s="11"/>
      <c r="K40" s="11"/>
    </row>
    <row r="41" spans="1:11" ht="13.5" customHeight="1" x14ac:dyDescent="0.2">
      <c r="A41" s="15" t="s">
        <v>89</v>
      </c>
      <c r="B41" s="15" t="s">
        <v>1</v>
      </c>
      <c r="C41" s="3">
        <v>0</v>
      </c>
      <c r="D41" s="7">
        <v>5</v>
      </c>
      <c r="E41" s="40">
        <f>+D41*C41</f>
        <v>0</v>
      </c>
      <c r="F41" s="11"/>
      <c r="G41" s="11"/>
      <c r="H41" s="11"/>
      <c r="I41" s="11"/>
      <c r="J41" s="11"/>
      <c r="K41" s="11"/>
    </row>
    <row r="42" spans="1:11" x14ac:dyDescent="0.2">
      <c r="A42" s="15" t="s">
        <v>15</v>
      </c>
      <c r="B42" s="15" t="s">
        <v>1</v>
      </c>
      <c r="C42" s="3">
        <v>0</v>
      </c>
      <c r="D42" s="7">
        <v>5</v>
      </c>
      <c r="E42" s="40">
        <f>+D42*C42</f>
        <v>0</v>
      </c>
      <c r="F42" s="11"/>
      <c r="G42" s="11"/>
      <c r="H42" s="11"/>
      <c r="I42" s="11"/>
      <c r="J42" s="11"/>
      <c r="K42" s="11"/>
    </row>
    <row r="43" spans="1:11" ht="8.25" customHeight="1" x14ac:dyDescent="0.2">
      <c r="A43" s="44"/>
      <c r="B43" s="15"/>
      <c r="C43" s="45"/>
      <c r="D43" s="46"/>
      <c r="E43" s="47"/>
      <c r="F43" s="11"/>
      <c r="G43" s="11"/>
      <c r="H43" s="11"/>
      <c r="I43" s="11"/>
      <c r="J43" s="11"/>
      <c r="K43" s="11"/>
    </row>
    <row r="44" spans="1:11" x14ac:dyDescent="0.2">
      <c r="A44" s="54" t="s">
        <v>76</v>
      </c>
      <c r="B44" s="15" t="s">
        <v>140</v>
      </c>
      <c r="C44" s="3">
        <v>0</v>
      </c>
      <c r="D44" s="7">
        <v>150</v>
      </c>
      <c r="E44" s="40">
        <f>+D44*C44</f>
        <v>0</v>
      </c>
      <c r="F44" s="11"/>
      <c r="G44" s="11"/>
      <c r="H44" s="11"/>
      <c r="I44" s="11"/>
      <c r="J44" s="11"/>
      <c r="K44" s="11"/>
    </row>
    <row r="45" spans="1:11" x14ac:dyDescent="0.2">
      <c r="B45" s="28" t="s">
        <v>77</v>
      </c>
      <c r="C45" s="116">
        <v>0</v>
      </c>
      <c r="D45" s="75">
        <v>5.5</v>
      </c>
      <c r="E45" s="10">
        <f>+C45*D45</f>
        <v>0</v>
      </c>
      <c r="F45" s="11"/>
      <c r="G45" s="11"/>
      <c r="H45" s="11"/>
      <c r="I45" s="11"/>
      <c r="J45" s="11"/>
      <c r="K45" s="11"/>
    </row>
    <row r="46" spans="1:11" ht="9.75" customHeight="1" x14ac:dyDescent="0.2">
      <c r="B46" s="28"/>
      <c r="C46" s="45"/>
      <c r="D46" s="46"/>
      <c r="E46" s="10"/>
      <c r="F46" s="11"/>
      <c r="G46" s="11"/>
      <c r="H46" s="11"/>
      <c r="I46" s="11"/>
      <c r="J46" s="11"/>
      <c r="K46" s="11"/>
    </row>
    <row r="47" spans="1:11" x14ac:dyDescent="0.2">
      <c r="A47" s="55" t="s">
        <v>81</v>
      </c>
      <c r="B47" s="15"/>
      <c r="C47" s="45"/>
      <c r="E47" s="6">
        <f>SUM(E15:E45)</f>
        <v>141.54710144927537</v>
      </c>
      <c r="F47" s="11"/>
      <c r="G47" s="11"/>
      <c r="H47" s="11"/>
      <c r="I47" s="11"/>
      <c r="J47" s="11"/>
      <c r="K47" s="11"/>
    </row>
    <row r="48" spans="1:11" ht="8.25" customHeight="1" x14ac:dyDescent="0.2">
      <c r="A48" s="11"/>
      <c r="B48" s="11"/>
      <c r="C48" s="11"/>
      <c r="D48" s="11"/>
      <c r="E48" s="11"/>
      <c r="F48" s="11"/>
      <c r="G48" s="11"/>
      <c r="H48" s="11"/>
      <c r="I48" s="11"/>
      <c r="J48" s="11"/>
      <c r="K48" s="11"/>
    </row>
    <row r="49" spans="1:11" x14ac:dyDescent="0.2">
      <c r="A49" s="48" t="s">
        <v>36</v>
      </c>
      <c r="B49" s="11"/>
      <c r="C49" s="49"/>
      <c r="D49" s="50" t="s">
        <v>75</v>
      </c>
      <c r="E49" s="11"/>
      <c r="F49" s="11"/>
      <c r="G49" s="11"/>
      <c r="H49" s="11"/>
      <c r="I49" s="11"/>
      <c r="J49" s="11"/>
      <c r="K49" s="11"/>
    </row>
    <row r="50" spans="1:11" x14ac:dyDescent="0.2">
      <c r="A50" s="51" t="s">
        <v>40</v>
      </c>
      <c r="B50" s="17" t="s">
        <v>1</v>
      </c>
      <c r="C50" s="3">
        <v>0</v>
      </c>
      <c r="D50" s="7">
        <v>13</v>
      </c>
      <c r="E50" s="52">
        <f>C50*D50</f>
        <v>0</v>
      </c>
      <c r="F50" s="11"/>
      <c r="G50" s="11"/>
      <c r="H50" s="11"/>
      <c r="I50" s="11"/>
      <c r="J50" s="11"/>
      <c r="K50" s="11"/>
    </row>
    <row r="51" spans="1:11" x14ac:dyDescent="0.2">
      <c r="A51" s="33" t="s">
        <v>37</v>
      </c>
      <c r="B51" s="17" t="s">
        <v>1</v>
      </c>
      <c r="C51" s="3">
        <v>0</v>
      </c>
      <c r="D51" s="7">
        <v>21</v>
      </c>
      <c r="E51" s="52">
        <f t="shared" ref="E51:E58" si="0">C51*D51</f>
        <v>0</v>
      </c>
      <c r="F51" s="11"/>
      <c r="H51" s="11"/>
      <c r="I51" s="11"/>
      <c r="J51" s="11"/>
      <c r="K51" s="11"/>
    </row>
    <row r="52" spans="1:11" x14ac:dyDescent="0.2">
      <c r="A52" s="33" t="s">
        <v>44</v>
      </c>
      <c r="B52" s="17" t="s">
        <v>1</v>
      </c>
      <c r="C52" s="3">
        <v>0</v>
      </c>
      <c r="D52" s="7">
        <v>17</v>
      </c>
      <c r="E52" s="52">
        <f t="shared" si="0"/>
        <v>0</v>
      </c>
      <c r="F52" s="11"/>
      <c r="G52" s="11"/>
      <c r="H52" s="11"/>
      <c r="I52" s="11"/>
      <c r="J52" s="11"/>
      <c r="K52" s="11"/>
    </row>
    <row r="53" spans="1:11" x14ac:dyDescent="0.2">
      <c r="A53" s="33" t="s">
        <v>38</v>
      </c>
      <c r="B53" s="17" t="s">
        <v>1</v>
      </c>
      <c r="C53" s="3">
        <v>0</v>
      </c>
      <c r="D53" s="7">
        <v>14</v>
      </c>
      <c r="E53" s="52">
        <f t="shared" si="0"/>
        <v>0</v>
      </c>
      <c r="F53" s="11"/>
      <c r="G53" s="11"/>
      <c r="H53" s="11"/>
      <c r="I53" s="11"/>
      <c r="J53" s="11"/>
      <c r="K53" s="11"/>
    </row>
    <row r="54" spans="1:11" x14ac:dyDescent="0.2">
      <c r="A54" s="33" t="s">
        <v>74</v>
      </c>
      <c r="B54" s="17" t="s">
        <v>1</v>
      </c>
      <c r="C54" s="3">
        <v>0</v>
      </c>
      <c r="D54" s="7">
        <v>14</v>
      </c>
      <c r="E54" s="52">
        <f t="shared" si="0"/>
        <v>0</v>
      </c>
      <c r="F54" s="11"/>
      <c r="G54" s="11"/>
      <c r="H54" s="11"/>
      <c r="I54" s="11"/>
      <c r="J54" s="11"/>
      <c r="K54" s="11"/>
    </row>
    <row r="55" spans="1:11" x14ac:dyDescent="0.2">
      <c r="A55" s="33" t="s">
        <v>110</v>
      </c>
      <c r="B55" s="17" t="s">
        <v>1</v>
      </c>
      <c r="C55" s="3">
        <v>0</v>
      </c>
      <c r="D55" s="7">
        <v>12</v>
      </c>
      <c r="E55" s="52">
        <f t="shared" si="0"/>
        <v>0</v>
      </c>
      <c r="F55" s="11"/>
      <c r="G55" s="11"/>
      <c r="H55" s="11"/>
      <c r="I55" s="11"/>
      <c r="J55" s="11"/>
      <c r="K55" s="11"/>
    </row>
    <row r="56" spans="1:11" x14ac:dyDescent="0.2">
      <c r="A56" s="33" t="s">
        <v>39</v>
      </c>
      <c r="B56" s="17" t="s">
        <v>1</v>
      </c>
      <c r="C56" s="3">
        <v>0</v>
      </c>
      <c r="D56" s="7">
        <v>17</v>
      </c>
      <c r="E56" s="52">
        <f t="shared" si="0"/>
        <v>0</v>
      </c>
      <c r="F56" s="11"/>
      <c r="G56" s="11"/>
      <c r="H56" s="11"/>
      <c r="I56" s="11"/>
      <c r="J56" s="11"/>
      <c r="K56" s="11"/>
    </row>
    <row r="57" spans="1:11" x14ac:dyDescent="0.2">
      <c r="A57" s="15" t="s">
        <v>41</v>
      </c>
      <c r="B57" s="17" t="s">
        <v>1</v>
      </c>
      <c r="C57" s="3">
        <v>0</v>
      </c>
      <c r="D57" s="7">
        <v>17</v>
      </c>
      <c r="E57" s="52">
        <f t="shared" si="0"/>
        <v>0</v>
      </c>
      <c r="F57" s="11"/>
      <c r="G57" s="11"/>
      <c r="H57" s="11"/>
      <c r="I57" s="11"/>
      <c r="J57" s="11"/>
      <c r="K57" s="11"/>
    </row>
    <row r="58" spans="1:11" x14ac:dyDescent="0.2">
      <c r="A58" s="15" t="s">
        <v>43</v>
      </c>
      <c r="B58" s="15" t="s">
        <v>1</v>
      </c>
      <c r="C58" s="3">
        <v>0</v>
      </c>
      <c r="D58" s="7">
        <v>10</v>
      </c>
      <c r="E58" s="52">
        <f t="shared" si="0"/>
        <v>0</v>
      </c>
      <c r="F58" s="11"/>
      <c r="G58" s="11"/>
      <c r="H58" s="11"/>
      <c r="I58" s="11"/>
      <c r="J58" s="11"/>
      <c r="K58" s="11"/>
    </row>
    <row r="59" spans="1:11" x14ac:dyDescent="0.2">
      <c r="A59" s="44" t="s">
        <v>55</v>
      </c>
      <c r="B59" s="15"/>
      <c r="C59" s="45"/>
      <c r="D59" s="15"/>
      <c r="E59" s="6">
        <f>SUM(E50:E58)</f>
        <v>0</v>
      </c>
      <c r="F59" s="11"/>
      <c r="G59" s="11"/>
      <c r="H59" s="11"/>
      <c r="I59" s="11"/>
      <c r="J59" s="11"/>
      <c r="K59" s="11"/>
    </row>
    <row r="60" spans="1:11" ht="8.25" customHeight="1" x14ac:dyDescent="0.2">
      <c r="A60" s="11"/>
      <c r="B60" s="11"/>
      <c r="C60" s="11"/>
      <c r="D60" s="11"/>
      <c r="E60" s="11"/>
      <c r="F60" s="11"/>
      <c r="G60" s="11"/>
      <c r="H60" s="11"/>
      <c r="I60" s="11"/>
      <c r="J60" s="11"/>
      <c r="K60" s="11"/>
    </row>
    <row r="61" spans="1:11" x14ac:dyDescent="0.2">
      <c r="A61" s="55" t="s">
        <v>111</v>
      </c>
      <c r="B61" s="15"/>
      <c r="C61" s="11"/>
      <c r="D61" s="11"/>
      <c r="E61" s="11"/>
      <c r="F61" s="11"/>
      <c r="G61" s="11"/>
      <c r="H61" s="11"/>
      <c r="I61" s="11"/>
      <c r="J61" s="11"/>
      <c r="K61" s="11"/>
    </row>
    <row r="62" spans="1:11" x14ac:dyDescent="0.2">
      <c r="A62" s="96" t="s">
        <v>113</v>
      </c>
      <c r="B62" s="15" t="s">
        <v>1</v>
      </c>
      <c r="C62" s="3">
        <v>3</v>
      </c>
      <c r="D62" s="8">
        <v>55</v>
      </c>
      <c r="E62" s="40">
        <f>+C62*D62</f>
        <v>165</v>
      </c>
      <c r="F62" s="11"/>
      <c r="G62" s="11"/>
      <c r="H62" s="11"/>
      <c r="I62" s="11"/>
      <c r="J62" s="11"/>
      <c r="K62" s="11"/>
    </row>
    <row r="63" spans="1:11" x14ac:dyDescent="0.2">
      <c r="A63" s="95" t="s">
        <v>112</v>
      </c>
      <c r="B63" s="17" t="s">
        <v>1</v>
      </c>
      <c r="C63" s="3">
        <v>0</v>
      </c>
      <c r="D63" s="8">
        <v>7</v>
      </c>
      <c r="E63" s="40">
        <f>+C63*D63</f>
        <v>0</v>
      </c>
      <c r="F63" s="11"/>
      <c r="G63" s="11"/>
      <c r="H63" s="11"/>
      <c r="I63" s="11"/>
      <c r="J63" s="11"/>
      <c r="K63" s="11"/>
    </row>
    <row r="64" spans="1:11" x14ac:dyDescent="0.2">
      <c r="A64" s="95" t="s">
        <v>114</v>
      </c>
      <c r="B64" s="17" t="s">
        <v>1</v>
      </c>
      <c r="C64" s="3">
        <v>0</v>
      </c>
      <c r="D64" s="8">
        <v>7.5</v>
      </c>
      <c r="E64" s="40">
        <f>+C64*D64</f>
        <v>0</v>
      </c>
      <c r="F64" s="11"/>
      <c r="G64" s="11"/>
      <c r="H64" s="11"/>
      <c r="I64" s="11"/>
      <c r="J64" s="11"/>
      <c r="K64" s="11"/>
    </row>
    <row r="65" spans="1:11" x14ac:dyDescent="0.2">
      <c r="A65" t="s">
        <v>115</v>
      </c>
      <c r="B65" s="97" t="s">
        <v>1</v>
      </c>
      <c r="C65" s="116">
        <v>0</v>
      </c>
      <c r="D65" s="117">
        <v>0.65</v>
      </c>
      <c r="E65" s="111">
        <f>+((C77*2000)/40)*D65*C65</f>
        <v>0</v>
      </c>
    </row>
    <row r="66" spans="1:11" x14ac:dyDescent="0.2">
      <c r="A66" t="s">
        <v>157</v>
      </c>
      <c r="B66" s="97" t="s">
        <v>1</v>
      </c>
      <c r="C66" s="118">
        <v>0</v>
      </c>
      <c r="D66" s="119">
        <v>10.5</v>
      </c>
      <c r="E66" s="111">
        <f>+((C77*2000)/1000)*D66*C66</f>
        <v>0</v>
      </c>
    </row>
    <row r="67" spans="1:11" x14ac:dyDescent="0.2">
      <c r="A67" t="s">
        <v>117</v>
      </c>
      <c r="B67" s="97" t="s">
        <v>1</v>
      </c>
      <c r="C67" s="116">
        <v>0</v>
      </c>
      <c r="D67" s="75">
        <v>11</v>
      </c>
      <c r="E67" s="111">
        <f>+((C77*2000)/1000)*D67*C67</f>
        <v>0</v>
      </c>
    </row>
    <row r="68" spans="1:11" x14ac:dyDescent="0.2">
      <c r="A68" s="128" t="s">
        <v>132</v>
      </c>
      <c r="B68" s="97" t="s">
        <v>133</v>
      </c>
      <c r="C68" s="116">
        <v>0</v>
      </c>
      <c r="D68" s="75">
        <v>4.5</v>
      </c>
      <c r="E68" s="111">
        <f>(+C68*D68*((C77*2))*C67)+(+C68*D68*(((C77*2000))/600)*C66)</f>
        <v>0</v>
      </c>
    </row>
    <row r="69" spans="1:11" x14ac:dyDescent="0.2">
      <c r="A69" s="110" t="s">
        <v>125</v>
      </c>
      <c r="B69" s="97"/>
      <c r="E69" s="113">
        <f>SUM(E62:E68)</f>
        <v>165</v>
      </c>
    </row>
    <row r="70" spans="1:11" ht="9" customHeight="1" x14ac:dyDescent="0.2">
      <c r="B70" s="97"/>
      <c r="E70" s="112"/>
    </row>
    <row r="71" spans="1:11" x14ac:dyDescent="0.2">
      <c r="A71" s="68" t="s">
        <v>13</v>
      </c>
      <c r="B71" s="17" t="s">
        <v>1</v>
      </c>
      <c r="C71" s="196">
        <v>1</v>
      </c>
      <c r="D71" s="197">
        <v>100</v>
      </c>
      <c r="E71" s="40">
        <f>+C71*D71</f>
        <v>100</v>
      </c>
      <c r="F71" s="11"/>
      <c r="G71" s="11"/>
      <c r="H71" s="11"/>
      <c r="I71" s="11"/>
      <c r="J71" s="11"/>
      <c r="K71" s="11"/>
    </row>
    <row r="72" spans="1:11" ht="12.75" customHeight="1" x14ac:dyDescent="0.2">
      <c r="A72" s="56" t="s">
        <v>100</v>
      </c>
      <c r="B72" s="11"/>
      <c r="C72" s="11"/>
      <c r="D72" s="11"/>
      <c r="E72" s="57">
        <f>0.08*(E47+(0.2*E59))</f>
        <v>11.32376811594203</v>
      </c>
      <c r="F72" s="11"/>
      <c r="G72" s="11"/>
      <c r="H72" s="11"/>
      <c r="I72" s="11"/>
      <c r="J72" s="11"/>
      <c r="K72" s="11"/>
    </row>
    <row r="73" spans="1:11" ht="7.5" customHeight="1" x14ac:dyDescent="0.2">
      <c r="A73" s="11"/>
      <c r="B73" s="11"/>
      <c r="C73" s="11"/>
      <c r="D73" s="11"/>
      <c r="E73" s="11"/>
      <c r="F73" s="11"/>
      <c r="G73" s="11"/>
      <c r="H73" s="11"/>
      <c r="I73" s="11"/>
      <c r="J73" s="11"/>
      <c r="K73" s="11"/>
    </row>
    <row r="74" spans="1:11" ht="13.5" customHeight="1" x14ac:dyDescent="0.2">
      <c r="A74" s="11"/>
      <c r="B74" s="11"/>
      <c r="C74" s="11"/>
      <c r="D74" s="58" t="s">
        <v>45</v>
      </c>
      <c r="E74" s="59">
        <f>+E47+E59+E69+E71+E72</f>
        <v>417.87086956521739</v>
      </c>
      <c r="F74" s="11"/>
      <c r="G74" s="11"/>
      <c r="H74" s="11"/>
      <c r="I74" s="11"/>
      <c r="J74" s="11"/>
      <c r="K74" s="11"/>
    </row>
    <row r="75" spans="1:11" ht="7.5" customHeight="1" x14ac:dyDescent="0.2">
      <c r="A75" s="11"/>
      <c r="B75" s="11"/>
      <c r="C75" s="11"/>
      <c r="D75" s="58"/>
      <c r="E75" s="60"/>
      <c r="F75" s="11"/>
      <c r="G75" s="11"/>
      <c r="H75" s="11"/>
      <c r="I75" s="11"/>
      <c r="J75" s="11"/>
      <c r="K75" s="11"/>
    </row>
    <row r="76" spans="1:11" ht="12" customHeight="1" x14ac:dyDescent="0.2">
      <c r="A76" s="134" t="s">
        <v>62</v>
      </c>
      <c r="B76" s="11"/>
      <c r="C76" s="214" t="s">
        <v>54</v>
      </c>
      <c r="D76" s="215"/>
      <c r="E76" s="216">
        <f>+D77*C77</f>
        <v>612.5</v>
      </c>
      <c r="F76" s="11"/>
      <c r="J76" s="11"/>
      <c r="K76" s="11"/>
    </row>
    <row r="77" spans="1:11" ht="12.75" customHeight="1" x14ac:dyDescent="0.2">
      <c r="A77" s="37" t="s">
        <v>102</v>
      </c>
      <c r="B77" s="17" t="s">
        <v>103</v>
      </c>
      <c r="C77" s="94">
        <v>3.5</v>
      </c>
      <c r="D77" s="83">
        <v>175</v>
      </c>
      <c r="E77" s="217"/>
      <c r="F77" s="11"/>
      <c r="J77" s="11"/>
      <c r="K77" s="11"/>
    </row>
    <row r="78" spans="1:11" ht="6.75" customHeight="1" x14ac:dyDescent="0.2">
      <c r="A78" s="16"/>
      <c r="B78" s="17"/>
      <c r="C78" s="11"/>
      <c r="D78" s="11"/>
      <c r="E78" s="11"/>
      <c r="F78" s="11"/>
      <c r="J78" s="11"/>
      <c r="K78" s="11"/>
    </row>
    <row r="79" spans="1:11" ht="15" customHeight="1" x14ac:dyDescent="0.25">
      <c r="A79" s="11"/>
      <c r="B79" s="11"/>
      <c r="C79" s="199" t="s">
        <v>53</v>
      </c>
      <c r="D79" s="200"/>
      <c r="E79" s="86">
        <f>E76-E74</f>
        <v>194.62913043478261</v>
      </c>
      <c r="F79" s="11"/>
      <c r="K79" s="11"/>
    </row>
    <row r="80" spans="1:11" ht="19.5" customHeight="1" x14ac:dyDescent="0.2">
      <c r="A80" s="11"/>
      <c r="B80" s="11"/>
      <c r="F80" s="11"/>
      <c r="K80" s="11"/>
    </row>
    <row r="81" spans="1:11" x14ac:dyDescent="0.2">
      <c r="A81" s="11"/>
      <c r="B81" s="11"/>
      <c r="C81" s="11"/>
      <c r="D81" s="11"/>
      <c r="E81" s="11"/>
      <c r="F81" s="11"/>
      <c r="K81" s="11"/>
    </row>
    <row r="82" spans="1:11" x14ac:dyDescent="0.2">
      <c r="F82" s="11"/>
    </row>
    <row r="83" spans="1:11" ht="15.75" customHeight="1" x14ac:dyDescent="0.2">
      <c r="F83" s="11"/>
    </row>
    <row r="84" spans="1:11" x14ac:dyDescent="0.2">
      <c r="F84" s="11"/>
    </row>
    <row r="85" spans="1:11" x14ac:dyDescent="0.2">
      <c r="F85" s="11"/>
    </row>
    <row r="86" spans="1:11" ht="17.25" customHeight="1" x14ac:dyDescent="0.2">
      <c r="F86" s="11"/>
    </row>
    <row r="87" spans="1:11" x14ac:dyDescent="0.2">
      <c r="F87" s="11"/>
    </row>
    <row r="88" spans="1:11" x14ac:dyDescent="0.2">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Direct Seeded Alfalfa</vt:lpstr>
      <vt:lpstr>Established Alfalfa</vt:lpstr>
    </vt:vector>
  </TitlesOfParts>
  <Company>Green Lake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Hendrickson, Lori</cp:lastModifiedBy>
  <cp:lastPrinted>2020-10-07T15:59:07Z</cp:lastPrinted>
  <dcterms:created xsi:type="dcterms:W3CDTF">2008-01-03T21:05:03Z</dcterms:created>
  <dcterms:modified xsi:type="dcterms:W3CDTF">2020-10-22T17:39:17Z</dcterms:modified>
</cp:coreProperties>
</file>